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727" firstSheet="36" activeTab="36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 ÖNK" sheetId="15" r:id="rId15"/>
    <sheet name="9.1.1. sz. mell ÖNK" sheetId="16" r:id="rId16"/>
    <sheet name="9.1.2. sz. mell ÖNK" sheetId="17" r:id="rId17"/>
    <sheet name="9.1.3. sz. mell ÖNK" sheetId="18" r:id="rId18"/>
    <sheet name="9.2. sz. mell HIV" sheetId="19" r:id="rId19"/>
    <sheet name="9.2.1. sz. mell HIV" sheetId="20" r:id="rId20"/>
    <sheet name="9.2.2. sz.  mell HIV" sheetId="21" r:id="rId21"/>
    <sheet name="9.2.3. sz. mell HIV" sheetId="22" r:id="rId22"/>
    <sheet name="9.3. sz. mell GAM" sheetId="23" r:id="rId23"/>
    <sheet name="9.3.1. sz. mell GAM" sheetId="24" r:id="rId24"/>
    <sheet name="9.3.2. sz. mell GAM" sheetId="25" r:id="rId25"/>
    <sheet name="9.3.3. sz. mell GAM" sheetId="26" r:id="rId26"/>
    <sheet name="9.4. sz. mell ILMKS" sheetId="27" r:id="rId27"/>
    <sheet name="9.4.1. sz. mell ILMKS" sheetId="28" r:id="rId28"/>
    <sheet name="9.4.2. sz. mell ILMKS" sheetId="29" r:id="rId29"/>
    <sheet name="9.4.3. sz. mell ILMKS" sheetId="30" r:id="rId30"/>
    <sheet name="9.5. sz. mell OVI" sheetId="31" r:id="rId31"/>
    <sheet name="9.5.1. sz. mell OVI" sheetId="32" r:id="rId32"/>
    <sheet name="9.5.2. sz. mell OVI" sheetId="33" r:id="rId33"/>
    <sheet name="9.5.3. sz. mell OVI" sheetId="34" r:id="rId34"/>
    <sheet name="10.sz.mell" sheetId="35" r:id="rId35"/>
    <sheet name="1. sz tájékoztató t." sheetId="36" r:id="rId36"/>
    <sheet name="2. sz tájékoztató t" sheetId="37" r:id="rId37"/>
    <sheet name="3. sz tájékoztató t." sheetId="38" r:id="rId38"/>
    <sheet name="4.sz tájékoztató t." sheetId="39" r:id="rId39"/>
    <sheet name="5.sz tájékoztató t." sheetId="40" r:id="rId40"/>
    <sheet name="6.sz tájékoztató t." sheetId="41" r:id="rId41"/>
    <sheet name="7. sz tájékoztató t." sheetId="42" r:id="rId42"/>
    <sheet name="Munka1" sheetId="43" r:id="rId43"/>
  </sheets>
  <externalReferences>
    <externalReference r:id="rId46"/>
  </externalReferences>
  <definedNames>
    <definedName name="_xlfn.IFERROR" hidden="1">#NAME?</definedName>
    <definedName name="_xlnm.Print_Titles" localSheetId="14">'9.1. sz. mell ÖNK'!$1:$6</definedName>
    <definedName name="_xlnm.Print_Titles" localSheetId="15">'9.1.1. sz. mell ÖNK'!$1:$6</definedName>
    <definedName name="_xlnm.Print_Titles" localSheetId="16">'9.1.2. sz. mell ÖNK'!$1:$6</definedName>
    <definedName name="_xlnm.Print_Titles" localSheetId="17">'9.1.3. sz. mell ÖNK'!$1:$6</definedName>
    <definedName name="_xlnm.Print_Titles" localSheetId="18">'9.2. sz. mell HIV'!$1:$6</definedName>
    <definedName name="_xlnm.Print_Titles" localSheetId="19">'9.2.1. sz. mell HIV'!$1:$6</definedName>
    <definedName name="_xlnm.Print_Titles" localSheetId="20">'9.2.2. sz.  mell HIV'!$1:$6</definedName>
    <definedName name="_xlnm.Print_Titles" localSheetId="21">'9.2.3. sz. mell HIV'!$1:$6</definedName>
    <definedName name="_xlnm.Print_Titles" localSheetId="22">'9.3. sz. mell GAM'!$1:$6</definedName>
    <definedName name="_xlnm.Print_Titles" localSheetId="23">'9.3.1. sz. mell GAM'!$1:$6</definedName>
    <definedName name="_xlnm.Print_Titles" localSheetId="24">'9.3.2. sz. mell GAM'!$1:$6</definedName>
    <definedName name="_xlnm.Print_Titles" localSheetId="25">'9.3.3. sz. mell GAM'!$1:$6</definedName>
    <definedName name="_xlnm.Print_Titles" localSheetId="26">'9.4. sz. mell ILMKS'!$1:$6</definedName>
    <definedName name="_xlnm.Print_Titles" localSheetId="27">'9.4.1. sz. mell ILMKS'!$1:$6</definedName>
    <definedName name="_xlnm.Print_Titles" localSheetId="28">'9.4.2. sz. mell ILMKS'!$1:$6</definedName>
    <definedName name="_xlnm.Print_Titles" localSheetId="29">'9.4.3. sz. mell ILMKS'!$1:$6</definedName>
    <definedName name="_xlnm.Print_Titles" localSheetId="30">'9.5. sz. mell OVI'!$1:$6</definedName>
    <definedName name="_xlnm.Print_Titles" localSheetId="31">'9.5.1. sz. mell OVI'!$1:$6</definedName>
    <definedName name="_xlnm.Print_Titles" localSheetId="32">'9.5.2. sz. mell OVI'!$1:$6</definedName>
    <definedName name="_xlnm.Print_Titles" localSheetId="33">'9.5.3. sz. mell OVI'!$1:$6</definedName>
    <definedName name="_xlnm.Print_Area" localSheetId="35">'1. sz tájékoztató t.'!$A$1:$E$154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5">'2.1.sz.mell  '!$A$1:$F$33</definedName>
    <definedName name="_xlnm.Print_Area" localSheetId="41">'7. sz tájékoztató t.'!$A$1:$E$37</definedName>
    <definedName name="_xlnm.Print_Area" localSheetId="14">'9.1. sz. mell ÖNK'!$A$1:$C$158</definedName>
    <definedName name="_xlnm.Print_Area" localSheetId="15">'9.1.1. sz. mell ÖNK'!$A$1:$C$158</definedName>
  </definedNames>
  <calcPr fullCalcOnLoad="1"/>
</workbook>
</file>

<file path=xl/sharedStrings.xml><?xml version="1.0" encoding="utf-8"?>
<sst xmlns="http://schemas.openxmlformats.org/spreadsheetml/2006/main" count="5249" uniqueCount="676">
  <si>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</si>
  <si>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</si>
  <si>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</si>
  <si>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</si>
  <si>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</si>
  <si>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</si>
  <si>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</si>
  <si>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</si>
  <si>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</si>
  <si>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</si>
  <si>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</si>
  <si>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</si>
  <si>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</si>
  <si>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</si>
  <si>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</si>
  <si>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</si>
  <si>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</si>
  <si>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</si>
  <si>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</si>
  <si>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</si>
  <si>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</si>
  <si>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</si>
  <si>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</si>
  <si>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</si>
  <si>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</si>
  <si>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</si>
  <si>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</si>
  <si>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</si>
  <si>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</si>
  <si>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</si>
  <si>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</si>
  <si>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</si>
  <si>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</si>
  <si>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</si>
  <si>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</si>
  <si>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</si>
  <si>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</si>
  <si>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</si>
  <si>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</si>
  <si>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</si>
  <si>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</si>
  <si>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</si>
  <si>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</si>
  <si>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</si>
  <si>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</si>
  <si>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</si>
  <si>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</si>
  <si>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</si>
  <si>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</si>
  <si>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</si>
  <si>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</si>
  <si>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</si>
  <si>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</si>
  <si>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</si>
  <si>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</si>
  <si>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</si>
  <si>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</si>
  <si>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</si>
  <si>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</si>
  <si>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</si>
  <si>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</si>
  <si>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</si>
  <si>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</si>
  <si>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</si>
  <si>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</si>
  <si>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</si>
  <si>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</si>
  <si>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</si>
  <si>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</si>
  <si>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</si>
  <si>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</si>
  <si>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</si>
  <si>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</si>
  <si>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</si>
  <si>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</si>
  <si>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</si>
  <si>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</si>
  <si>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</si>
  <si>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</si>
  <si>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</si>
  <si>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</si>
  <si>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</si>
  <si>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</si>
  <si>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</si>
  <si>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</si>
  <si>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</si>
  <si>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</si>
  <si>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</si>
  <si>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</si>
  <si>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</si>
  <si>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</si>
  <si>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</si>
  <si>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</si>
  <si>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</si>
  <si>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</si>
  <si>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</si>
  <si>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</si>
  <si>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</si>
  <si>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</si>
  <si>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</si>
  <si>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</si>
  <si>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</si>
  <si>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</si>
  <si>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</si>
  <si>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</si>
  <si>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</si>
  <si>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</si>
  <si>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</si>
  <si>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</si>
  <si>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</si>
  <si>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</si>
  <si>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</si>
  <si>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</si>
  <si>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</si>
  <si>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</si>
  <si>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</si>
  <si>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</si>
  <si>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</si>
  <si>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</si>
  <si>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</si>
  <si>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</si>
  <si>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</si>
  <si>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</si>
  <si>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</si>
  <si>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</si>
  <si>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</si>
  <si>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</si>
  <si>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</si>
  <si>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</si>
  <si>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</si>
  <si>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</si>
  <si>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</si>
  <si>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</si>
  <si>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</si>
  <si>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</si>
  <si>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</si>
  <si>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</si>
  <si>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</si>
  <si>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</si>
  <si>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</si>
  <si>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</si>
  <si>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</si>
  <si>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</si>
  <si>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</si>
  <si>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</si>
  <si>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</si>
  <si>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</si>
  <si>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</si>
  <si>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</si>
  <si>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</si>
  <si>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</si>
  <si>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</si>
  <si>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</si>
  <si>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</si>
  <si>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</si>
  <si>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</si>
  <si>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</si>
  <si>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</si>
  <si>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</si>
  <si>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</si>
  <si>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</si>
  <si>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</si>
  <si>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</si>
  <si>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</si>
  <si>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</si>
  <si>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</si>
  <si>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Magánszemélyek kommunális adója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</si>
  <si>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</si>
  <si>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</si>
  <si>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</si>
  <si>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</si>
  <si>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</si>
  <si>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</si>
  <si>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</si>
  <si>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</si>
  <si>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</si>
  <si>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</si>
  <si>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</si>
  <si>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</si>
  <si>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</si>
  <si>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</si>
  <si>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</si>
  <si>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</si>
  <si>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</si>
  <si>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</si>
  <si>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</si>
  <si>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</si>
  <si>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</si>
  <si>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</si>
  <si>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</si>
  <si>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</si>
  <si>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</si>
  <si>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</si>
  <si>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</si>
  <si>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</si>
  <si>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</si>
  <si>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</si>
  <si>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</si>
  <si>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</si>
  <si>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</si>
  <si>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</si>
  <si>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</si>
  <si>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</si>
  <si>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</si>
  <si>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</si>
  <si>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</si>
  <si>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</si>
  <si>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</si>
  <si>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</si>
  <si>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</si>
  <si>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</si>
  <si>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</si>
  <si>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</si>
  <si>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</si>
  <si>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</si>
  <si>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</si>
  <si>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</si>
  <si>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</si>
  <si>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</si>
  <si>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</si>
  <si>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</si>
  <si>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</si>
  <si>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</si>
  <si>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</si>
  <si>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</si>
  <si>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</si>
  <si>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</si>
  <si>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</si>
  <si>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</si>
  <si>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</si>
  <si>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</si>
  <si>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</si>
  <si>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</si>
  <si>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</si>
  <si>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</si>
  <si>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</si>
  <si>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</si>
  <si>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</si>
  <si>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</si>
  <si>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</si>
  <si>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</si>
  <si>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</si>
  <si>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</si>
  <si>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</si>
  <si>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</si>
  <si>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</si>
  <si>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</si>
  <si>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</si>
  <si>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</si>
  <si>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</si>
  <si>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</si>
  <si>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</si>
  <si>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</si>
  <si>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</si>
  <si>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</si>
  <si>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</si>
  <si>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</si>
  <si>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</si>
  <si>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</si>
  <si>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</si>
  <si>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</si>
  <si>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</si>
  <si>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</si>
  <si>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</si>
  <si>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</si>
  <si>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</si>
  <si>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</si>
  <si>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</si>
  <si>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</si>
  <si>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</si>
  <si>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</si>
  <si>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</si>
  <si>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</si>
  <si>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</si>
  <si>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</si>
  <si>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</si>
  <si>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</si>
  <si>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</si>
  <si>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</si>
  <si>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</si>
  <si>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</si>
  <si>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</si>
  <si>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</si>
  <si>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</si>
  <si>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</si>
  <si>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</si>
  <si>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</si>
  <si>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</si>
  <si>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</si>
  <si>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</si>
  <si>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</si>
  <si>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</si>
  <si>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</si>
  <si>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</si>
  <si>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</si>
  <si>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</si>
  <si>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</si>
  <si>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</si>
  <si>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</si>
  <si>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</si>
  <si>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</si>
  <si>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</si>
  <si>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</si>
  <si>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</si>
  <si>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</si>
  <si>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</si>
  <si>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</si>
  <si>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</si>
  <si>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</si>
  <si>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</si>
  <si>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</si>
  <si>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</si>
  <si>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</si>
  <si>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</si>
  <si>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</si>
  <si>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</si>
  <si>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</si>
  <si>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</si>
  <si>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</si>
  <si>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</si>
  <si>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</si>
  <si>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</si>
  <si>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</si>
  <si>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</si>
  <si>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</si>
  <si>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</si>
  <si>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</si>
  <si>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</si>
  <si>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</si>
  <si>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</si>
  <si>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</si>
  <si>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</si>
  <si>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</si>
  <si>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</si>
  <si>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</si>
  <si>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</si>
  <si>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</si>
  <si>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</si>
  <si>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</si>
  <si>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</si>
  <si>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</si>
  <si>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</si>
  <si>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</si>
  <si>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</si>
  <si>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</si>
  <si>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</si>
  <si>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</si>
  <si>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</si>
  <si>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</si>
  <si>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</si>
  <si>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</si>
  <si>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</si>
  <si>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</si>
  <si>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</si>
  <si>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</si>
  <si>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</si>
  <si>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</si>
  <si>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</si>
  <si>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</si>
  <si>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</si>
  <si>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</si>
  <si>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</si>
  <si>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</si>
  <si>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</si>
  <si>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</si>
  <si>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</si>
  <si>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</si>
  <si>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</si>
  <si>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</si>
  <si>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</si>
  <si>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</si>
  <si>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</si>
  <si>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</si>
  <si>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</si>
  <si>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</si>
  <si>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</si>
  <si>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</si>
  <si>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</si>
  <si>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</si>
  <si>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</si>
  <si>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</si>
  <si>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</si>
  <si>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</si>
  <si>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</si>
  <si>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</si>
  <si>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</si>
  <si>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</si>
  <si>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</si>
  <si>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</si>
  <si>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</si>
  <si>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</si>
  <si>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</si>
  <si>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</si>
  <si>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</si>
  <si>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</si>
  <si>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</si>
  <si>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</si>
  <si>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</si>
  <si>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</si>
  <si>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</si>
  <si>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</si>
  <si>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</si>
  <si>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</si>
  <si>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</si>
  <si>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</si>
  <si>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</si>
  <si>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</si>
  <si>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</si>
  <si>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</si>
  <si>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</si>
  <si>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</si>
  <si>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</si>
  <si>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</si>
  <si>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</si>
  <si>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</si>
  <si>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</si>
  <si>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</si>
  <si>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</si>
  <si>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</si>
  <si>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</si>
  <si>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</si>
  <si>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</si>
  <si>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</si>
  <si>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</si>
  <si>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</si>
  <si>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</si>
  <si>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</si>
  <si>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</si>
  <si>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</si>
  <si>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</si>
  <si>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</si>
  <si>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</si>
  <si>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</si>
  <si>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</si>
  <si>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</si>
  <si>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</si>
  <si>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</si>
  <si>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</si>
  <si>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</si>
  <si>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</si>
  <si>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</si>
  <si>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</si>
  <si>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</si>
  <si>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</si>
  <si>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</si>
  <si>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</si>
  <si>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</si>
  <si>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</si>
  <si>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</si>
  <si>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</si>
  <si>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</si>
  <si>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</si>
  <si>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</si>
  <si>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</si>
  <si>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</si>
  <si>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</si>
  <si>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</si>
  <si>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</si>
  <si>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</si>
  <si>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</si>
  <si>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</si>
  <si>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</si>
  <si>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</si>
  <si>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</si>
  <si>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</si>
  <si>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</si>
  <si>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</si>
  <si>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</si>
  <si>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</si>
  <si>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</si>
  <si>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</si>
  <si>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</si>
  <si>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</si>
  <si>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</si>
  <si>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</si>
  <si>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</si>
  <si>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</si>
  <si>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</si>
  <si>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</si>
  <si>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</si>
  <si>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</si>
  <si>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</si>
  <si>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</si>
  <si>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</si>
  <si>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</si>
  <si>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</si>
  <si>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</si>
  <si>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</si>
  <si>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</si>
  <si>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</si>
  <si>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</si>
  <si>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</si>
  <si>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</si>
  <si>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</si>
  <si>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</si>
  <si>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</si>
  <si>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</si>
  <si>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</si>
  <si>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</si>
  <si>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</si>
  <si>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</si>
  <si>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</si>
  <si>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</si>
  <si>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</si>
  <si>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</si>
  <si>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</si>
  <si>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</si>
  <si>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</si>
  <si>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</si>
  <si>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</si>
  <si>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</si>
  <si>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</si>
  <si>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</si>
  <si>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</si>
  <si>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</si>
  <si>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</si>
  <si>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</si>
  <si>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</si>
  <si>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</si>
  <si>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</si>
  <si>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</si>
  <si>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</si>
  <si>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</si>
  <si>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</si>
  <si>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</si>
  <si>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</si>
  <si>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</si>
  <si>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</si>
  <si>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</si>
  <si>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</si>
  <si>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</si>
  <si>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</si>
  <si>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</si>
  <si>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</si>
  <si>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</si>
  <si>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</si>
  <si>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</si>
  <si>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</si>
  <si>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</si>
  <si>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</si>
  <si>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</si>
  <si>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</si>
  <si>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</si>
  <si>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</si>
  <si>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</si>
  <si>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</si>
  <si>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</si>
  <si>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</si>
  <si>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</si>
  <si>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</si>
  <si>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</si>
  <si>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</si>
  <si>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</si>
  <si>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</si>
  <si>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</si>
  <si>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</si>
  <si>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</si>
  <si>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</si>
  <si>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</si>
  <si>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</si>
  <si>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</si>
  <si>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</si>
  <si>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</si>
  <si>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</si>
  <si>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</si>
  <si>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</si>
  <si>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</si>
  <si>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2016. évi előirányzat BEVÉTELEK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</si>
  <si>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</si>
  <si>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</si>
  <si>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</si>
  <si>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</si>
  <si>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</si>
  <si>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Ibrány Város Önkormányzata adósságot keletkeztető ügyletekből és kezességvállalásokból fennálló kötelezettségei</t>
  </si>
  <si>
    <t>Ibrány Város Önkormányzata saját bevételeinek részletezése az adósságot keletkeztető ügyletből származó tárgyévi fizetési kötelezettség megállapításához</t>
  </si>
  <si>
    <t>Ibrány Város Önkormányzata</t>
  </si>
  <si>
    <t>Ibrányi Polgármesteri Hivatal</t>
  </si>
  <si>
    <t>Ibrányi László Művelődési Központ, Könyvtár és Sportcentrum</t>
  </si>
  <si>
    <t>Ibrány Városi Óvoda</t>
  </si>
  <si>
    <t>Gazdasági Műszaki Ellátó és Szolgáltató Szervezet</t>
  </si>
  <si>
    <t>Finanszírozási bevételek, kiadások egyenlege (finanszírozási bevételek 17. sor - finanszírozási kiadások 10. sor) (+/-)</t>
  </si>
  <si>
    <t>Finanszírozási bevételek, kiadások egyenlege (finanszírozási bevételek 17. sor - finanszírozási kiadások 10. sor)  (+/-)</t>
  </si>
  <si>
    <t>05</t>
  </si>
  <si>
    <t>Forintban !</t>
  </si>
  <si>
    <t>MFB hitelszerződés 1-2-14-4400-0425-3</t>
  </si>
  <si>
    <t>Forintban</t>
  </si>
  <si>
    <t>a) 65. életéveét betöltött egyedül élő nőnek, férfinak, a korhatár elérését követő évtől (267 fő)</t>
  </si>
  <si>
    <t>b) 70. életévüket(mindketten) betöltött házaspárnak, a korhatár elérését követő évtől (154 fő)</t>
  </si>
  <si>
    <t>Aki saját háztartásában 3, vagy több kikorú gyermek eltartásáról gondoskodik (119 fő)</t>
  </si>
  <si>
    <t>az a lakáscélú ingatlan, melyben orvosi rendelő működik (2 db)</t>
  </si>
  <si>
    <t>Polgárőrök 50 %-os kedvezménye</t>
  </si>
  <si>
    <t>Beépítetlen építési telek 50 %-os kevezménye (57 db)</t>
  </si>
  <si>
    <t>Ibrányi Sportegyesület</t>
  </si>
  <si>
    <t>Ibrányi Polgárőr Egyesület</t>
  </si>
  <si>
    <t>Ibrányi Nyugdíjasok Egyesülete</t>
  </si>
  <si>
    <t>Ibrányi Rendőrőrs</t>
  </si>
  <si>
    <t>Ibrányi Úszó Sportegyesület</t>
  </si>
  <si>
    <t>Működésének támogatása</t>
  </si>
  <si>
    <t>Önkéntes Tűzoltó Egyesület</t>
  </si>
  <si>
    <t>MFB hitelszerződés 1-2-14-4400-0423-1</t>
  </si>
  <si>
    <t>1314/3. hrsz-ú ingatlan vásárlás</t>
  </si>
  <si>
    <t>Lízingszerződés autóvásárláshoz kapcsolódóan</t>
  </si>
  <si>
    <t>2014</t>
  </si>
  <si>
    <t>2015</t>
  </si>
  <si>
    <t xml:space="preserve">mezőőrök </t>
  </si>
  <si>
    <t>bözsi</t>
  </si>
  <si>
    <t>gyerekház</t>
  </si>
  <si>
    <t>közmunka</t>
  </si>
  <si>
    <t>iskola eü</t>
  </si>
  <si>
    <t>roma</t>
  </si>
  <si>
    <t>cssk</t>
  </si>
  <si>
    <t>IN</t>
  </si>
  <si>
    <t>kistérsé</t>
  </si>
  <si>
    <t>tűzoltóság</t>
  </si>
  <si>
    <t>ny</t>
  </si>
  <si>
    <t>polgár</t>
  </si>
  <si>
    <t>rendőrség</t>
  </si>
  <si>
    <t>pm</t>
  </si>
  <si>
    <t>kt</t>
  </si>
  <si>
    <t>kommunális</t>
  </si>
  <si>
    <t>bírság</t>
  </si>
  <si>
    <t>pótlék</t>
  </si>
  <si>
    <t>mezőőri</t>
  </si>
  <si>
    <t>mintagazd</t>
  </si>
  <si>
    <t>lakbér</t>
  </si>
  <si>
    <t>szolgáltatás</t>
  </si>
  <si>
    <t>bérleti díj</t>
  </si>
  <si>
    <t>busz</t>
  </si>
  <si>
    <t>vagyonkezelői díj</t>
  </si>
  <si>
    <t>iskola</t>
  </si>
  <si>
    <t>11744003-15732262</t>
  </si>
  <si>
    <t>30 napon túli elismert tartozásállomány összesen: 0 Ft</t>
  </si>
  <si>
    <t>Felvett, átvállalt hitel és annk tőketartozása</t>
  </si>
  <si>
    <t>Pénzügyi lízing</t>
  </si>
  <si>
    <t>Éves eredeti kiadási előirányzat: 1 223 724 ezer Ft</t>
  </si>
  <si>
    <t>Önkormányzati hivatal működésének támogatása</t>
  </si>
  <si>
    <t>Település-üzemeltetéshez kapcsolódó támogatás</t>
  </si>
  <si>
    <t>a) Zöldterület-gazdálkodással kapcsolatos feladatok ellátásának támogatása</t>
  </si>
  <si>
    <t>b) Közvilágítás fenntartásának támogatása</t>
  </si>
  <si>
    <t>c) köztemető fenntartásával kapcsolatos feladatok támogatása</t>
  </si>
  <si>
    <t>d) Közutak fenntartásáank támogatása</t>
  </si>
  <si>
    <t>Egyéb önkormányzati feladatok támogatása</t>
  </si>
  <si>
    <t>A 2015. évről áthúzódó bérkompenzáció támogatása</t>
  </si>
  <si>
    <t>Lakott külterülettel kapcsolatos feladatok támogatása</t>
  </si>
  <si>
    <t>I. A helyi önkormányzatok működésének támogatása</t>
  </si>
  <si>
    <t>I.1.(1) 1 Pedagógusok bértámogatása</t>
  </si>
  <si>
    <t>I.1.(2) 1 Segítők bértámogatása</t>
  </si>
  <si>
    <t>I.1.(1) 2 Pedagógusok bértámogatása</t>
  </si>
  <si>
    <t>I.1.(2) 2 Segítők bértámogatása</t>
  </si>
  <si>
    <t>I.1.(4) 2 Pedagógusok bértámogatása</t>
  </si>
  <si>
    <t>II.2.(8) 1 Óvodaműködtetés 8 hó</t>
  </si>
  <si>
    <t>II.2.(8) 2 Óvodaműködtetés 4 hó</t>
  </si>
  <si>
    <t>II. 1. Óvodapedagógusok, és az óvodapedagógusok nevelő munkáját közvetlenül segítők bértámogatása</t>
  </si>
  <si>
    <t>II. 2. Óvodaműködtetés támogatása</t>
  </si>
  <si>
    <t>II. 4. A köznevelési intézmények működtetéséhez kapcsolódó támogatás</t>
  </si>
  <si>
    <t>II. 5. Kiegészítő támogatás az óvodapedagógusok minősítéséhez (II.5.a (1) pedagósuk II. kategóraiába sorolt  óvodapedagógusok kieg. tám.)</t>
  </si>
  <si>
    <t>II. A települési önkomrányzatok egyes köznevelési feladatainak támogatása</t>
  </si>
  <si>
    <t>III. 2. A települési önkormányzatok szociális feladatainak egyéb támogatása</t>
  </si>
  <si>
    <t>III.3.a Család- és gyermekjóléti szolgálat</t>
  </si>
  <si>
    <t>III.3.a Család- és gyermekjóléti központ</t>
  </si>
  <si>
    <t>III.5.a. A finanszírozás szempontjából elismert dolgozók létszáma</t>
  </si>
  <si>
    <t>III.5.b Gyermekétkeztetés üzemeltetési támogatása</t>
  </si>
  <si>
    <t>III.5.c A rászoruló gyermekiek intézményen kívüli szünidei étkeztetésének támogatása</t>
  </si>
  <si>
    <t>III. A települési önkormányzatok szocilális, gyermekjóléti és gyermekétkezetési feladatinak támogatása</t>
  </si>
  <si>
    <t>IV.1.d Könyvtári, közművelődési és múzeumi feladatok támogatása, Települési önkormányzatok nyilvános könyvtári és a közművelődési feladatainak támogatása</t>
  </si>
  <si>
    <t>Nagyértékű gépek beszerzése</t>
  </si>
  <si>
    <t>Ingatlan vásárlás</t>
  </si>
  <si>
    <t>Gyalogos átkelőhely létesítés általános iskolánál</t>
  </si>
  <si>
    <t>2016</t>
  </si>
  <si>
    <t>Közmunka programban végzett felújítások</t>
  </si>
  <si>
    <t>Cseke féle lakáshoz kapcsolódó felújítás</t>
  </si>
  <si>
    <t>Pályázatok előkészítése</t>
  </si>
  <si>
    <t>Tervek készítése</t>
  </si>
  <si>
    <t xml:space="preserve"> Forintban !</t>
  </si>
  <si>
    <t>Ingatlanvásárlás</t>
  </si>
  <si>
    <t>Összesen (1+4+10+12+14)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</si>
</sst>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0&quot;.&quot;"/>
    <numFmt numFmtId="181" formatCode="_-* #,##0.0\ _F_t_-;\-* #,##0.0\ _F_t_-;_-* &quot;-&quot;??\ _F_t_-;_-@_-"/>
  </numFmts>
  <fonts count="7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i/>
      <sz val="8"/>
      <name val="Times New Roman"/>
      <family val="1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697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72" fontId="17" fillId="0" borderId="25" xfId="0" applyNumberFormat="1" applyFont="1" applyFill="1" applyBorder="1" applyAlignment="1" applyProtection="1">
      <alignment vertical="center" wrapText="1"/>
      <protection locked="0"/>
    </xf>
    <xf numFmtId="172" fontId="17" fillId="0" borderId="26" xfId="0" applyNumberFormat="1" applyFont="1" applyFill="1" applyBorder="1" applyAlignment="1" applyProtection="1">
      <alignment vertical="center" wrapText="1"/>
      <protection locked="0"/>
    </xf>
    <xf numFmtId="172" fontId="17" fillId="0" borderId="27" xfId="0" applyNumberFormat="1" applyFont="1" applyFill="1" applyBorder="1" applyAlignment="1" applyProtection="1">
      <alignment vertical="center" wrapText="1"/>
      <protection locked="0"/>
    </xf>
    <xf numFmtId="172" fontId="17" fillId="0" borderId="11" xfId="0" applyNumberFormat="1" applyFont="1" applyFill="1" applyBorder="1" applyAlignment="1" applyProtection="1">
      <alignment vertical="center" wrapText="1"/>
      <protection locked="0"/>
    </xf>
    <xf numFmtId="172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center" vertical="center" wrapText="1"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72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72" fontId="5" fillId="0" borderId="0" xfId="0" applyNumberFormat="1" applyFont="1" applyFill="1" applyAlignment="1" applyProtection="1">
      <alignment horizontal="right" wrapText="1"/>
      <protection/>
    </xf>
    <xf numFmtId="172" fontId="7" fillId="0" borderId="30" xfId="0" applyNumberFormat="1" applyFont="1" applyFill="1" applyBorder="1" applyAlignment="1" applyProtection="1">
      <alignment horizontal="center" vertical="center" wrapText="1"/>
      <protection/>
    </xf>
    <xf numFmtId="172" fontId="15" fillId="0" borderId="31" xfId="0" applyNumberFormat="1" applyFont="1" applyFill="1" applyBorder="1" applyAlignment="1" applyProtection="1">
      <alignment horizontal="center" vertical="center" wrapText="1"/>
      <protection/>
    </xf>
    <xf numFmtId="172" fontId="15" fillId="0" borderId="32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7" fillId="0" borderId="25" xfId="0" applyNumberFormat="1" applyFont="1" applyFill="1" applyBorder="1" applyAlignment="1" applyProtection="1">
      <alignment vertical="center" wrapText="1"/>
      <protection/>
    </xf>
    <xf numFmtId="172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27" xfId="0" applyNumberFormat="1" applyFont="1" applyFill="1" applyBorder="1" applyAlignment="1" applyProtection="1">
      <alignment vertical="center" wrapText="1"/>
      <protection/>
    </xf>
    <xf numFmtId="172" fontId="15" fillId="0" borderId="23" xfId="0" applyNumberFormat="1" applyFont="1" applyFill="1" applyBorder="1" applyAlignment="1" applyProtection="1">
      <alignment vertical="center" wrapText="1"/>
      <protection/>
    </xf>
    <xf numFmtId="172" fontId="15" fillId="0" borderId="30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4" fillId="0" borderId="11" xfId="0" applyNumberFormat="1" applyFont="1" applyFill="1" applyBorder="1" applyAlignment="1" applyProtection="1">
      <alignment vertical="center" wrapText="1"/>
      <protection locked="0"/>
    </xf>
    <xf numFmtId="172" fontId="14" fillId="0" borderId="25" xfId="0" applyNumberFormat="1" applyFont="1" applyFill="1" applyBorder="1" applyAlignment="1" applyProtection="1">
      <alignment vertical="center" wrapText="1"/>
      <protection/>
    </xf>
    <xf numFmtId="172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4" fillId="0" borderId="15" xfId="0" applyNumberFormat="1" applyFont="1" applyFill="1" applyBorder="1" applyAlignment="1" applyProtection="1">
      <alignment vertical="center" wrapText="1"/>
      <protection locked="0"/>
    </xf>
    <xf numFmtId="172" fontId="14" fillId="0" borderId="27" xfId="0" applyNumberFormat="1" applyFont="1" applyFill="1" applyBorder="1" applyAlignment="1" applyProtection="1">
      <alignment vertical="center" wrapText="1"/>
      <protection/>
    </xf>
    <xf numFmtId="172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72" fontId="17" fillId="0" borderId="33" xfId="0" applyNumberFormat="1" applyFont="1" applyFill="1" applyBorder="1" applyAlignment="1" applyProtection="1">
      <alignment vertical="center" wrapText="1"/>
      <protection/>
    </xf>
    <xf numFmtId="172" fontId="17" fillId="0" borderId="22" xfId="0" applyNumberFormat="1" applyFont="1" applyFill="1" applyBorder="1" applyAlignment="1" applyProtection="1">
      <alignment vertical="center" wrapText="1"/>
      <protection/>
    </xf>
    <xf numFmtId="172" fontId="17" fillId="0" borderId="23" xfId="0" applyNumberFormat="1" applyFont="1" applyFill="1" applyBorder="1" applyAlignment="1" applyProtection="1">
      <alignment vertical="center" wrapText="1"/>
      <protection/>
    </xf>
    <xf numFmtId="172" fontId="17" fillId="0" borderId="30" xfId="0" applyNumberFormat="1" applyFont="1" applyFill="1" applyBorder="1" applyAlignment="1" applyProtection="1">
      <alignment vertical="center" wrapText="1"/>
      <protection/>
    </xf>
    <xf numFmtId="172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34" xfId="0" applyNumberFormat="1" applyFont="1" applyFill="1" applyBorder="1" applyAlignment="1" applyProtection="1">
      <alignment vertical="center" wrapText="1"/>
      <protection locked="0"/>
    </xf>
    <xf numFmtId="172" fontId="17" fillId="0" borderId="17" xfId="0" applyNumberFormat="1" applyFont="1" applyFill="1" applyBorder="1" applyAlignment="1" applyProtection="1">
      <alignment vertical="center" wrapText="1"/>
      <protection locked="0"/>
    </xf>
    <xf numFmtId="172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35" xfId="0" applyNumberFormat="1" applyFont="1" applyFill="1" applyBorder="1" applyAlignment="1" applyProtection="1">
      <alignment vertical="center" wrapText="1"/>
      <protection locked="0"/>
    </xf>
    <xf numFmtId="172" fontId="17" fillId="0" borderId="19" xfId="0" applyNumberFormat="1" applyFont="1" applyFill="1" applyBorder="1" applyAlignment="1" applyProtection="1">
      <alignment vertical="center" wrapText="1"/>
      <protection locked="0"/>
    </xf>
    <xf numFmtId="172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37" xfId="0" applyNumberFormat="1" applyFont="1" applyFill="1" applyBorder="1" applyAlignment="1" applyProtection="1">
      <alignment vertical="center" wrapText="1"/>
      <protection locked="0"/>
    </xf>
    <xf numFmtId="172" fontId="17" fillId="0" borderId="16" xfId="0" applyNumberFormat="1" applyFont="1" applyFill="1" applyBorder="1" applyAlignment="1" applyProtection="1">
      <alignment vertical="center" wrapText="1"/>
      <protection locked="0"/>
    </xf>
    <xf numFmtId="172" fontId="17" fillId="0" borderId="10" xfId="0" applyNumberFormat="1" applyFont="1" applyFill="1" applyBorder="1" applyAlignment="1" applyProtection="1">
      <alignment vertical="center" wrapText="1"/>
      <protection locked="0"/>
    </xf>
    <xf numFmtId="172" fontId="9" fillId="0" borderId="0" xfId="0" applyNumberFormat="1" applyFont="1" applyFill="1" applyAlignment="1">
      <alignment horizontal="center" vertical="center" wrapText="1"/>
    </xf>
    <xf numFmtId="172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2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72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72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172" fontId="17" fillId="0" borderId="10" xfId="59" applyNumberFormat="1" applyFont="1" applyFill="1" applyBorder="1" applyAlignment="1" applyProtection="1">
      <alignment vertical="center"/>
      <protection locked="0"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72" fontId="17" fillId="0" borderId="11" xfId="59" applyNumberFormat="1" applyFont="1" applyFill="1" applyBorder="1" applyAlignment="1" applyProtection="1">
      <alignment vertical="center"/>
      <protection locked="0"/>
    </xf>
    <xf numFmtId="172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72" fontId="17" fillId="0" borderId="12" xfId="59" applyNumberFormat="1" applyFont="1" applyFill="1" applyBorder="1" applyAlignment="1" applyProtection="1">
      <alignment vertical="center"/>
      <protection locked="0"/>
    </xf>
    <xf numFmtId="172" fontId="17" fillId="0" borderId="38" xfId="59" applyNumberFormat="1" applyFont="1" applyFill="1" applyBorder="1" applyAlignment="1" applyProtection="1">
      <alignment vertical="center"/>
      <protection/>
    </xf>
    <xf numFmtId="172" fontId="15" fillId="0" borderId="23" xfId="59" applyNumberFormat="1" applyFont="1" applyFill="1" applyBorder="1" applyAlignment="1" applyProtection="1">
      <alignment vertical="center"/>
      <protection/>
    </xf>
    <xf numFmtId="172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72" fontId="15" fillId="0" borderId="23" xfId="59" applyNumberFormat="1" applyFont="1" applyFill="1" applyBorder="1" applyProtection="1">
      <alignment/>
      <protection/>
    </xf>
    <xf numFmtId="172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172" fontId="15" fillId="33" borderId="23" xfId="0" applyNumberFormat="1" applyFont="1" applyFill="1" applyBorder="1" applyAlignment="1" applyProtection="1">
      <alignment vertical="center" wrapText="1"/>
      <protection/>
    </xf>
    <xf numFmtId="172" fontId="7" fillId="33" borderId="23" xfId="0" applyNumberFormat="1" applyFont="1" applyFill="1" applyBorder="1" applyAlignment="1" applyProtection="1">
      <alignment vertical="center" wrapText="1"/>
      <protection/>
    </xf>
    <xf numFmtId="172" fontId="0" fillId="33" borderId="45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72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72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7" xfId="0" applyFont="1" applyFill="1" applyBorder="1" applyAlignment="1" applyProtection="1">
      <alignment horizontal="right"/>
      <protection/>
    </xf>
    <xf numFmtId="172" fontId="16" fillId="0" borderId="47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72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74" fontId="0" fillId="0" borderId="38" xfId="40" applyNumberFormat="1" applyFont="1" applyFill="1" applyBorder="1" applyAlignment="1">
      <alignment/>
    </xf>
    <xf numFmtId="174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8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72" fontId="17" fillId="0" borderId="12" xfId="0" applyNumberFormat="1" applyFont="1" applyFill="1" applyBorder="1" applyAlignment="1" applyProtection="1">
      <alignment vertical="center"/>
      <protection locked="0"/>
    </xf>
    <xf numFmtId="172" fontId="17" fillId="0" borderId="11" xfId="0" applyNumberFormat="1" applyFont="1" applyFill="1" applyBorder="1" applyAlignment="1" applyProtection="1">
      <alignment vertical="center"/>
      <protection locked="0"/>
    </xf>
    <xf numFmtId="172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74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74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74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74" fontId="15" fillId="0" borderId="30" xfId="40" applyNumberFormat="1" applyFont="1" applyFill="1" applyBorder="1" applyAlignment="1" applyProtection="1">
      <alignment/>
      <protection/>
    </xf>
    <xf numFmtId="174" fontId="17" fillId="0" borderId="29" xfId="40" applyNumberFormat="1" applyFont="1" applyFill="1" applyBorder="1" applyAlignment="1" applyProtection="1">
      <alignment/>
      <protection locked="0"/>
    </xf>
    <xf numFmtId="174" fontId="17" fillId="0" borderId="25" xfId="40" applyNumberFormat="1" applyFont="1" applyFill="1" applyBorder="1" applyAlignment="1" applyProtection="1">
      <alignment/>
      <protection locked="0"/>
    </xf>
    <xf numFmtId="174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center" vertical="center" wrapText="1"/>
      <protection/>
    </xf>
    <xf numFmtId="172" fontId="7" fillId="0" borderId="23" xfId="0" applyNumberFormat="1" applyFont="1" applyFill="1" applyBorder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left" vertical="center" wrapText="1"/>
      <protection/>
    </xf>
    <xf numFmtId="172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72" fontId="15" fillId="0" borderId="32" xfId="0" applyNumberFormat="1" applyFont="1" applyFill="1" applyBorder="1" applyAlignment="1" applyProtection="1">
      <alignment vertical="center" wrapText="1"/>
      <protection/>
    </xf>
    <xf numFmtId="172" fontId="15" fillId="0" borderId="4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72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172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72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4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72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72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72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72" fontId="15" fillId="0" borderId="23" xfId="0" applyNumberFormat="1" applyFont="1" applyFill="1" applyBorder="1" applyAlignment="1" applyProtection="1">
      <alignment vertical="center"/>
      <protection/>
    </xf>
    <xf numFmtId="172" fontId="15" fillId="0" borderId="30" xfId="0" applyNumberFormat="1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72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60" xfId="0" applyNumberFormat="1" applyFont="1" applyFill="1" applyBorder="1" applyAlignment="1" applyProtection="1">
      <alignment horizontal="center" vertical="center"/>
      <protection/>
    </xf>
    <xf numFmtId="172" fontId="7" fillId="0" borderId="40" xfId="0" applyNumberFormat="1" applyFont="1" applyFill="1" applyBorder="1" applyAlignment="1" applyProtection="1">
      <alignment horizontal="center" vertical="center" wrapText="1"/>
      <protection/>
    </xf>
    <xf numFmtId="172" fontId="15" fillId="0" borderId="55" xfId="0" applyNumberFormat="1" applyFont="1" applyFill="1" applyBorder="1" applyAlignment="1" applyProtection="1">
      <alignment horizontal="center" vertical="center" wrapText="1"/>
      <protection/>
    </xf>
    <xf numFmtId="172" fontId="15" fillId="0" borderId="33" xfId="0" applyNumberFormat="1" applyFont="1" applyFill="1" applyBorder="1" applyAlignment="1" applyProtection="1">
      <alignment horizontal="center" vertical="center" wrapText="1"/>
      <protection/>
    </xf>
    <xf numFmtId="172" fontId="15" fillId="0" borderId="45" xfId="0" applyNumberFormat="1" applyFont="1" applyFill="1" applyBorder="1" applyAlignment="1" applyProtection="1">
      <alignment horizontal="center" vertical="center" wrapText="1"/>
      <protection/>
    </xf>
    <xf numFmtId="172" fontId="15" fillId="0" borderId="30" xfId="0" applyNumberFormat="1" applyFont="1" applyFill="1" applyBorder="1" applyAlignment="1" applyProtection="1">
      <alignment horizontal="center" vertical="center" wrapText="1"/>
      <protection/>
    </xf>
    <xf numFmtId="172" fontId="15" fillId="0" borderId="37" xfId="0" applyNumberFormat="1" applyFont="1" applyFill="1" applyBorder="1" applyAlignment="1" applyProtection="1">
      <alignment horizontal="center" vertical="center" wrapText="1"/>
      <protection/>
    </xf>
    <xf numFmtId="172" fontId="15" fillId="0" borderId="22" xfId="0" applyNumberFormat="1" applyFont="1" applyFill="1" applyBorder="1" applyAlignment="1" applyProtection="1">
      <alignment horizontal="center" vertical="center" wrapText="1"/>
      <protection/>
    </xf>
    <xf numFmtId="172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15" fillId="0" borderId="17" xfId="0" applyNumberFormat="1" applyFont="1" applyFill="1" applyBorder="1" applyAlignment="1" applyProtection="1">
      <alignment horizontal="center" vertical="center" wrapText="1"/>
      <protection/>
    </xf>
    <xf numFmtId="172" fontId="17" fillId="0" borderId="34" xfId="0" applyNumberFormat="1" applyFont="1" applyFill="1" applyBorder="1" applyAlignment="1" applyProtection="1">
      <alignment vertical="center" wrapText="1"/>
      <protection/>
    </xf>
    <xf numFmtId="172" fontId="15" fillId="0" borderId="19" xfId="0" applyNumberFormat="1" applyFont="1" applyFill="1" applyBorder="1" applyAlignment="1" applyProtection="1">
      <alignment horizontal="center" vertical="center" wrapText="1"/>
      <protection/>
    </xf>
    <xf numFmtId="172" fontId="17" fillId="0" borderId="35" xfId="0" applyNumberFormat="1" applyFont="1" applyFill="1" applyBorder="1" applyAlignment="1" applyProtection="1">
      <alignment vertical="center" wrapText="1"/>
      <protection/>
    </xf>
    <xf numFmtId="172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15" fillId="0" borderId="16" xfId="0" applyNumberFormat="1" applyFont="1" applyFill="1" applyBorder="1" applyAlignment="1" applyProtection="1">
      <alignment horizontal="center" vertical="center" wrapText="1"/>
      <protection/>
    </xf>
    <xf numFmtId="172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72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72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72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72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72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7" xfId="0" applyFont="1" applyFill="1" applyBorder="1" applyAlignment="1" applyProtection="1">
      <alignment horizontal="right" vertical="center"/>
      <protection/>
    </xf>
    <xf numFmtId="172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5" fillId="0" borderId="0" xfId="0" applyNumberFormat="1" applyFont="1" applyFill="1" applyAlignment="1" applyProtection="1">
      <alignment horizontal="right" vertical="center"/>
      <protection/>
    </xf>
    <xf numFmtId="172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5" fillId="0" borderId="33" xfId="0" applyNumberFormat="1" applyFont="1" applyFill="1" applyBorder="1" applyAlignment="1" applyProtection="1">
      <alignment horizontal="center" vertical="center" wrapText="1"/>
      <protection/>
    </xf>
    <xf numFmtId="172" fontId="15" fillId="0" borderId="22" xfId="0" applyNumberFormat="1" applyFont="1" applyFill="1" applyBorder="1" applyAlignment="1" applyProtection="1">
      <alignment horizontal="center" vertical="center" wrapText="1"/>
      <protection/>
    </xf>
    <xf numFmtId="172" fontId="15" fillId="0" borderId="23" xfId="0" applyNumberFormat="1" applyFont="1" applyFill="1" applyBorder="1" applyAlignment="1" applyProtection="1">
      <alignment horizontal="center" vertical="center" wrapText="1"/>
      <protection/>
    </xf>
    <xf numFmtId="172" fontId="15" fillId="0" borderId="30" xfId="0" applyNumberFormat="1" applyFont="1" applyFill="1" applyBorder="1" applyAlignment="1" applyProtection="1">
      <alignment horizontal="center" vertical="center" wrapText="1"/>
      <protection/>
    </xf>
    <xf numFmtId="172" fontId="15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36" xfId="0" applyNumberForma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4" xfId="0" applyNumberForma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72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74" fontId="17" fillId="0" borderId="63" xfId="40" applyNumberFormat="1" applyFont="1" applyFill="1" applyBorder="1" applyAlignment="1" applyProtection="1">
      <alignment/>
      <protection locked="0"/>
    </xf>
    <xf numFmtId="174" fontId="17" fillId="0" borderId="58" xfId="40" applyNumberFormat="1" applyFont="1" applyFill="1" applyBorder="1" applyAlignment="1" applyProtection="1">
      <alignment/>
      <protection locked="0"/>
    </xf>
    <xf numFmtId="174" fontId="17" fillId="0" borderId="53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72" fontId="7" fillId="0" borderId="53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72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72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72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1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37" xfId="0" applyNumberFormat="1" applyFill="1" applyBorder="1" applyAlignment="1" applyProtection="1">
      <alignment horizontal="left" vertical="center" wrapText="1" indent="1"/>
      <protection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4" xfId="58" applyFont="1" applyFill="1" applyBorder="1" applyAlignment="1" applyProtection="1">
      <alignment horizontal="center" vertical="center" wrapText="1"/>
      <protection/>
    </xf>
    <xf numFmtId="172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72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72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72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72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8" xfId="58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72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74" fontId="3" fillId="0" borderId="23" xfId="58" applyNumberFormat="1" applyFont="1" applyFill="1" applyBorder="1">
      <alignment/>
      <protection/>
    </xf>
    <xf numFmtId="174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72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0" xfId="0" applyNumberFormat="1" applyFont="1" applyFill="1" applyAlignment="1" applyProtection="1">
      <alignment horizontal="right"/>
      <protection/>
    </xf>
    <xf numFmtId="172" fontId="4" fillId="0" borderId="0" xfId="0" applyNumberFormat="1" applyFont="1" applyFill="1" applyAlignment="1" applyProtection="1">
      <alignment vertical="center"/>
      <protection/>
    </xf>
    <xf numFmtId="172" fontId="4" fillId="0" borderId="0" xfId="0" applyNumberFormat="1" applyFont="1" applyFill="1" applyAlignment="1" applyProtection="1">
      <alignment horizontal="center" vertical="center"/>
      <protection/>
    </xf>
    <xf numFmtId="172" fontId="4" fillId="0" borderId="0" xfId="0" applyNumberFormat="1" applyFont="1" applyFill="1" applyAlignment="1" applyProtection="1">
      <alignment horizontal="center" vertical="center" wrapText="1"/>
      <protection/>
    </xf>
    <xf numFmtId="180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1" xfId="58" applyFont="1" applyFill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72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9" xfId="58" applyFont="1" applyFill="1" applyBorder="1" applyAlignment="1" applyProtection="1">
      <alignment horizontal="left" vertical="center" wrapText="1" indent="7"/>
      <protection/>
    </xf>
    <xf numFmtId="172" fontId="22" fillId="0" borderId="30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72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72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72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72" fontId="22" fillId="0" borderId="48" xfId="0" applyNumberFormat="1" applyFont="1" applyBorder="1" applyAlignment="1" applyProtection="1">
      <alignment horizontal="right" vertical="center" wrapText="1" indent="1"/>
      <protection/>
    </xf>
    <xf numFmtId="172" fontId="22" fillId="0" borderId="48" xfId="0" applyNumberFormat="1" applyFont="1" applyBorder="1" applyAlignment="1" applyProtection="1">
      <alignment horizontal="right" vertical="center" wrapText="1" indent="1"/>
      <protection locked="0"/>
    </xf>
    <xf numFmtId="172" fontId="20" fillId="0" borderId="48" xfId="0" applyNumberFormat="1" applyFont="1" applyBorder="1" applyAlignment="1" applyProtection="1" quotePrefix="1">
      <alignment horizontal="right" vertical="center" wrapText="1" indent="1"/>
      <protection/>
    </xf>
    <xf numFmtId="172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72" fontId="22" fillId="0" borderId="23" xfId="0" applyNumberFormat="1" applyFont="1" applyBorder="1" applyAlignment="1" applyProtection="1">
      <alignment horizontal="right" vertical="center" wrapText="1" indent="1"/>
      <protection/>
    </xf>
    <xf numFmtId="172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72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72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72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72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72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72" fontId="20" fillId="0" borderId="48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30" xfId="58" applyFont="1" applyFill="1" applyBorder="1" applyAlignment="1" applyProtection="1">
      <alignment horizontal="center" vertical="center"/>
      <protection/>
    </xf>
    <xf numFmtId="172" fontId="7" fillId="0" borderId="30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72" fontId="15" fillId="0" borderId="49" xfId="0" applyNumberFormat="1" applyFont="1" applyFill="1" applyBorder="1" applyAlignment="1" applyProtection="1">
      <alignment horizontal="center" vertical="center" wrapText="1"/>
      <protection/>
    </xf>
    <xf numFmtId="172" fontId="15" fillId="0" borderId="49" xfId="0" applyNumberFormat="1" applyFont="1" applyFill="1" applyBorder="1" applyAlignment="1" applyProtection="1">
      <alignment horizontal="center" vertical="center" wrapText="1"/>
      <protection/>
    </xf>
    <xf numFmtId="0" fontId="15" fillId="0" borderId="45" xfId="58" applyFont="1" applyFill="1" applyBorder="1" applyAlignment="1" applyProtection="1">
      <alignment horizontal="left" vertical="center" wrapText="1" indent="1"/>
      <protection/>
    </xf>
    <xf numFmtId="172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49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horizontal="left" vertical="center" wrapText="1" indent="1"/>
      <protection/>
    </xf>
    <xf numFmtId="172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31" xfId="58" applyNumberFormat="1" applyFont="1" applyFill="1" applyBorder="1" applyAlignment="1" applyProtection="1">
      <alignment horizontal="center" vertical="center" wrapText="1"/>
      <protection/>
    </xf>
    <xf numFmtId="172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8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10" xfId="0" applyFont="1" applyBorder="1" applyAlignment="1" applyProtection="1">
      <alignment horizontal="left" vertical="center" indent="1"/>
      <protection locked="0"/>
    </xf>
    <xf numFmtId="172" fontId="1" fillId="0" borderId="0" xfId="0" applyNumberFormat="1" applyFont="1" applyFill="1" applyAlignment="1">
      <alignment vertical="center" wrapText="1"/>
    </xf>
    <xf numFmtId="174" fontId="1" fillId="0" borderId="0" xfId="40" applyNumberFormat="1" applyFont="1" applyFill="1" applyAlignment="1">
      <alignment vertical="center" wrapText="1"/>
    </xf>
    <xf numFmtId="174" fontId="1" fillId="0" borderId="0" xfId="4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74" fontId="1" fillId="0" borderId="0" xfId="0" applyNumberFormat="1" applyFont="1" applyFill="1" applyAlignment="1">
      <alignment vertical="center" wrapText="1"/>
    </xf>
    <xf numFmtId="174" fontId="0" fillId="0" borderId="0" xfId="40" applyNumberFormat="1" applyFont="1" applyFill="1" applyAlignment="1">
      <alignment vertical="center" wrapText="1"/>
    </xf>
    <xf numFmtId="0" fontId="17" fillId="0" borderId="15" xfId="58" applyFont="1" applyFill="1" applyBorder="1" applyAlignment="1" applyProtection="1">
      <alignment horizontal="left" vertical="center" wrapText="1" indent="7"/>
      <protection/>
    </xf>
    <xf numFmtId="0" fontId="17" fillId="0" borderId="24" xfId="59" applyFont="1" applyFill="1" applyBorder="1" applyAlignment="1" applyProtection="1">
      <alignment horizontal="left" vertical="center" indent="1"/>
      <protection/>
    </xf>
    <xf numFmtId="0" fontId="17" fillId="0" borderId="28" xfId="59" applyFont="1" applyFill="1" applyBorder="1" applyAlignment="1" applyProtection="1">
      <alignment horizontal="left" vertical="center" wrapText="1" indent="1"/>
      <protection/>
    </xf>
    <xf numFmtId="172" fontId="17" fillId="0" borderId="28" xfId="59" applyNumberFormat="1" applyFont="1" applyFill="1" applyBorder="1" applyAlignment="1" applyProtection="1">
      <alignment vertical="center"/>
      <protection locked="0"/>
    </xf>
    <xf numFmtId="172" fontId="17" fillId="0" borderId="29" xfId="59" applyNumberFormat="1" applyFont="1" applyFill="1" applyBorder="1" applyAlignment="1" applyProtection="1">
      <alignment vertical="center"/>
      <protection/>
    </xf>
    <xf numFmtId="172" fontId="17" fillId="0" borderId="13" xfId="59" applyNumberFormat="1" applyFont="1" applyFill="1" applyBorder="1" applyAlignment="1" applyProtection="1">
      <alignment vertical="center"/>
      <protection locked="0"/>
    </xf>
    <xf numFmtId="0" fontId="17" fillId="0" borderId="19" xfId="59" applyFont="1" applyFill="1" applyBorder="1" applyAlignment="1" applyProtection="1">
      <alignment horizontal="left" vertical="center" indent="1"/>
      <protection/>
    </xf>
    <xf numFmtId="0" fontId="17" fillId="0" borderId="15" xfId="59" applyFont="1" applyFill="1" applyBorder="1" applyAlignment="1" applyProtection="1">
      <alignment horizontal="left" vertical="center" indent="1"/>
      <protection/>
    </xf>
    <xf numFmtId="172" fontId="17" fillId="0" borderId="15" xfId="59" applyNumberFormat="1" applyFont="1" applyFill="1" applyBorder="1" applyAlignment="1" applyProtection="1">
      <alignment vertical="center"/>
      <protection locked="0"/>
    </xf>
    <xf numFmtId="172" fontId="17" fillId="0" borderId="27" xfId="59" applyNumberFormat="1" applyFont="1" applyFill="1" applyBorder="1" applyAlignment="1" applyProtection="1">
      <alignment vertical="center"/>
      <protection/>
    </xf>
    <xf numFmtId="0" fontId="22" fillId="0" borderId="43" xfId="0" applyFont="1" applyFill="1" applyBorder="1" applyAlignment="1" applyProtection="1">
      <alignment horizontal="left" vertical="center" wrapText="1"/>
      <protection locked="0"/>
    </xf>
    <xf numFmtId="172" fontId="22" fillId="0" borderId="67" xfId="0" applyNumberFormat="1" applyFont="1" applyFill="1" applyBorder="1" applyAlignment="1" applyProtection="1">
      <alignment horizontal="right" vertical="center" wrapText="1"/>
      <protection locked="0"/>
    </xf>
    <xf numFmtId="172" fontId="31" fillId="0" borderId="67" xfId="0" applyNumberFormat="1" applyFont="1" applyFill="1" applyBorder="1" applyAlignment="1" applyProtection="1">
      <alignment horizontal="right" vertical="center" wrapText="1"/>
      <protection locked="0"/>
    </xf>
    <xf numFmtId="172" fontId="32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44" xfId="0" applyFont="1" applyFill="1" applyBorder="1" applyAlignment="1" applyProtection="1">
      <alignment horizontal="left" vertical="center" wrapText="1"/>
      <protection locked="0"/>
    </xf>
    <xf numFmtId="172" fontId="6" fillId="0" borderId="0" xfId="58" applyNumberFormat="1" applyFont="1" applyFill="1" applyBorder="1" applyAlignment="1" applyProtection="1">
      <alignment horizontal="center" vertical="center"/>
      <protection/>
    </xf>
    <xf numFmtId="172" fontId="16" fillId="0" borderId="47" xfId="58" applyNumberFormat="1" applyFont="1" applyFill="1" applyBorder="1" applyAlignment="1" applyProtection="1">
      <alignment horizontal="left" vertical="center"/>
      <protection/>
    </xf>
    <xf numFmtId="172" fontId="16" fillId="0" borderId="4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72" fontId="7" fillId="0" borderId="71" xfId="0" applyNumberFormat="1" applyFont="1" applyFill="1" applyBorder="1" applyAlignment="1" applyProtection="1">
      <alignment horizontal="center" vertical="center" wrapText="1"/>
      <protection/>
    </xf>
    <xf numFmtId="172" fontId="7" fillId="0" borderId="72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 applyProtection="1">
      <alignment horizontal="center" textRotation="180" wrapText="1"/>
      <protection/>
    </xf>
    <xf numFmtId="172" fontId="72" fillId="0" borderId="65" xfId="0" applyNumberFormat="1" applyFont="1" applyFill="1" applyBorder="1" applyAlignment="1" applyProtection="1">
      <alignment horizontal="center" vertical="center" wrapText="1"/>
      <protection/>
    </xf>
    <xf numFmtId="172" fontId="7" fillId="0" borderId="73" xfId="0" applyNumberFormat="1" applyFont="1" applyFill="1" applyBorder="1" applyAlignment="1" applyProtection="1">
      <alignment horizontal="center" vertical="center" wrapText="1"/>
      <protection/>
    </xf>
    <xf numFmtId="172" fontId="7" fillId="0" borderId="74" xfId="0" applyNumberFormat="1" applyFont="1" applyFill="1" applyBorder="1" applyAlignment="1" applyProtection="1">
      <alignment horizontal="center" vertical="center" wrapText="1"/>
      <protection/>
    </xf>
    <xf numFmtId="172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72" fontId="6" fillId="0" borderId="0" xfId="0" applyNumberFormat="1" applyFont="1" applyFill="1" applyAlignment="1">
      <alignment horizontal="center" vertical="center" wrapText="1"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6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72" fontId="8" fillId="0" borderId="62" xfId="0" applyNumberFormat="1" applyFont="1" applyFill="1" applyBorder="1" applyAlignment="1" applyProtection="1">
      <alignment horizontal="center" textRotation="180" wrapText="1"/>
      <protection/>
    </xf>
    <xf numFmtId="172" fontId="6" fillId="0" borderId="0" xfId="0" applyNumberFormat="1" applyFont="1" applyFill="1" applyAlignment="1" applyProtection="1">
      <alignment horizontal="center" vertical="center" wrapText="1"/>
      <protection/>
    </xf>
    <xf numFmtId="172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72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72" fontId="7" fillId="0" borderId="71" xfId="0" applyNumberFormat="1" applyFont="1" applyFill="1" applyBorder="1" applyAlignment="1" applyProtection="1">
      <alignment horizontal="center" vertical="center"/>
      <protection/>
    </xf>
    <xf numFmtId="172" fontId="7" fillId="0" borderId="72" xfId="0" applyNumberFormat="1" applyFont="1" applyFill="1" applyBorder="1" applyAlignment="1" applyProtection="1">
      <alignment horizontal="center" vertical="center"/>
      <protection/>
    </xf>
    <xf numFmtId="172" fontId="7" fillId="0" borderId="68" xfId="0" applyNumberFormat="1" applyFont="1" applyFill="1" applyBorder="1" applyAlignment="1" applyProtection="1">
      <alignment horizontal="center" vertical="center"/>
      <protection/>
    </xf>
    <xf numFmtId="172" fontId="7" fillId="0" borderId="77" xfId="0" applyNumberFormat="1" applyFont="1" applyFill="1" applyBorder="1" applyAlignment="1" applyProtection="1">
      <alignment horizontal="center" vertical="center"/>
      <protection/>
    </xf>
    <xf numFmtId="172" fontId="7" fillId="0" borderId="63" xfId="0" applyNumberFormat="1" applyFont="1" applyFill="1" applyBorder="1" applyAlignment="1" applyProtection="1">
      <alignment horizontal="center" vertical="center"/>
      <protection/>
    </xf>
    <xf numFmtId="172" fontId="7" fillId="0" borderId="71" xfId="0" applyNumberFormat="1" applyFont="1" applyFill="1" applyBorder="1" applyAlignment="1" applyProtection="1">
      <alignment horizontal="center" vertical="center" wrapText="1"/>
      <protection/>
    </xf>
    <xf numFmtId="172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80" xfId="59" applyFont="1" applyFill="1" applyBorder="1" applyAlignment="1" applyProtection="1">
      <alignment horizontal="left" vertical="center" indent="1"/>
      <protection/>
    </xf>
    <xf numFmtId="0" fontId="16" fillId="0" borderId="65" xfId="59" applyFont="1" applyFill="1" applyBorder="1" applyAlignment="1" applyProtection="1">
      <alignment horizontal="left" vertical="center" indent="1"/>
      <protection/>
    </xf>
    <xf numFmtId="0" fontId="16" fillId="0" borderId="69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48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5" xfId="0" applyFont="1" applyBorder="1" applyAlignment="1" applyProtection="1">
      <alignment horizontal="left" vertical="center" indent="2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172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zabaly\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2016. évi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view="pageBreakPreview" zoomScale="60" workbookViewId="0" topLeftCell="A1">
      <selection activeCell="B21" sqref="B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155</v>
      </c>
    </row>
    <row r="4" spans="1:2" ht="12.75">
      <c r="A4" s="163"/>
      <c r="B4" s="163"/>
    </row>
    <row r="5" spans="1:2" s="175" customFormat="1" ht="15.75">
      <c r="A5" s="107" t="s">
        <v>567</v>
      </c>
      <c r="B5" s="174"/>
    </row>
    <row r="6" spans="1:2" ht="12.75">
      <c r="A6" s="163"/>
      <c r="B6" s="163"/>
    </row>
    <row r="7" spans="1:2" ht="12.75">
      <c r="A7" s="163" t="s">
        <v>552</v>
      </c>
      <c r="B7" s="163" t="s">
        <v>493</v>
      </c>
    </row>
    <row r="8" spans="1:2" ht="12.75">
      <c r="A8" s="163" t="s">
        <v>553</v>
      </c>
      <c r="B8" s="163" t="s">
        <v>494</v>
      </c>
    </row>
    <row r="9" spans="1:2" ht="12.75">
      <c r="A9" s="163" t="s">
        <v>554</v>
      </c>
      <c r="B9" s="163" t="s">
        <v>495</v>
      </c>
    </row>
    <row r="10" spans="1:2" ht="12.75">
      <c r="A10" s="163"/>
      <c r="B10" s="163"/>
    </row>
    <row r="11" spans="1:2" ht="12.75">
      <c r="A11" s="163"/>
      <c r="B11" s="163"/>
    </row>
    <row r="12" spans="1:2" s="175" customFormat="1" ht="15.75">
      <c r="A12" s="107" t="str">
        <f>+CONCATENATE(LEFT(A5,4),". évi előirányzat KIADÁSOK")</f>
        <v>2016. évi előirányzat KIADÁSOK</v>
      </c>
      <c r="B12" s="174"/>
    </row>
    <row r="13" spans="1:2" ht="12.75">
      <c r="A13" s="163"/>
      <c r="B13" s="163"/>
    </row>
    <row r="14" spans="1:2" ht="12.75">
      <c r="A14" s="163" t="s">
        <v>555</v>
      </c>
      <c r="B14" s="163" t="s">
        <v>496</v>
      </c>
    </row>
    <row r="15" spans="1:2" ht="12.75">
      <c r="A15" s="163" t="s">
        <v>556</v>
      </c>
      <c r="B15" s="163" t="s">
        <v>497</v>
      </c>
    </row>
    <row r="16" spans="1:2" ht="12.75">
      <c r="A16" s="163" t="s">
        <v>557</v>
      </c>
      <c r="B16" s="163" t="s">
        <v>498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9" sqref="C9"/>
    </sheetView>
  </sheetViews>
  <sheetFormatPr defaultColWidth="9.00390625" defaultRowHeight="12.75"/>
  <cols>
    <col min="1" max="1" width="5.625" style="177" customWidth="1"/>
    <col min="2" max="2" width="68.625" style="177" customWidth="1"/>
    <col min="3" max="3" width="19.50390625" style="177" customWidth="1"/>
    <col min="4" max="16384" width="9.375" style="177" customWidth="1"/>
  </cols>
  <sheetData>
    <row r="1" spans="1:3" ht="33" customHeight="1">
      <c r="A1" s="630" t="s">
        <v>574</v>
      </c>
      <c r="B1" s="630"/>
      <c r="C1" s="630"/>
    </row>
    <row r="2" spans="1:4" ht="15.75" customHeight="1" thickBot="1">
      <c r="A2" s="178"/>
      <c r="B2" s="178"/>
      <c r="C2" s="189" t="s">
        <v>56</v>
      </c>
      <c r="D2" s="184"/>
    </row>
    <row r="3" spans="1:3" ht="26.25" customHeight="1" thickBot="1">
      <c r="A3" s="208" t="s">
        <v>17</v>
      </c>
      <c r="B3" s="209" t="s">
        <v>197</v>
      </c>
      <c r="C3" s="210" t="str">
        <f>+'1.1.sz.mell.'!C3</f>
        <v>2016. évi előirányzat</v>
      </c>
    </row>
    <row r="4" spans="1:3" ht="15.75" thickBot="1">
      <c r="A4" s="211"/>
      <c r="B4" s="579" t="s">
        <v>499</v>
      </c>
      <c r="C4" s="580" t="s">
        <v>500</v>
      </c>
    </row>
    <row r="5" spans="1:3" ht="15">
      <c r="A5" s="212" t="s">
        <v>19</v>
      </c>
      <c r="B5" s="402" t="s">
        <v>509</v>
      </c>
      <c r="C5" s="399">
        <v>94800</v>
      </c>
    </row>
    <row r="6" spans="1:3" ht="24.75">
      <c r="A6" s="213" t="s">
        <v>20</v>
      </c>
      <c r="B6" s="438" t="s">
        <v>251</v>
      </c>
      <c r="C6" s="400">
        <v>10000</v>
      </c>
    </row>
    <row r="7" spans="1:3" ht="15">
      <c r="A7" s="213" t="s">
        <v>21</v>
      </c>
      <c r="B7" s="439" t="s">
        <v>510</v>
      </c>
      <c r="C7" s="400"/>
    </row>
    <row r="8" spans="1:3" ht="24.75">
      <c r="A8" s="213" t="s">
        <v>22</v>
      </c>
      <c r="B8" s="439" t="s">
        <v>253</v>
      </c>
      <c r="C8" s="400">
        <v>2712</v>
      </c>
    </row>
    <row r="9" spans="1:3" ht="15">
      <c r="A9" s="214" t="s">
        <v>23</v>
      </c>
      <c r="B9" s="439" t="s">
        <v>252</v>
      </c>
      <c r="C9" s="401">
        <v>1790</v>
      </c>
    </row>
    <row r="10" spans="1:3" ht="15.75" thickBot="1">
      <c r="A10" s="213" t="s">
        <v>24</v>
      </c>
      <c r="B10" s="440" t="s">
        <v>511</v>
      </c>
      <c r="C10" s="400"/>
    </row>
    <row r="11" spans="1:3" ht="15.75" thickBot="1">
      <c r="A11" s="639" t="s">
        <v>200</v>
      </c>
      <c r="B11" s="640"/>
      <c r="C11" s="215">
        <f>SUM(C5:C10)</f>
        <v>109302</v>
      </c>
    </row>
    <row r="12" spans="1:3" ht="23.25" customHeight="1">
      <c r="A12" s="641" t="s">
        <v>226</v>
      </c>
      <c r="B12" s="641"/>
      <c r="C12" s="641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...../2016.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B5" sqref="B5"/>
    </sheetView>
  </sheetViews>
  <sheetFormatPr defaultColWidth="9.00390625" defaultRowHeight="12.75"/>
  <cols>
    <col min="1" max="1" width="5.625" style="177" customWidth="1"/>
    <col min="2" max="2" width="66.875" style="177" customWidth="1"/>
    <col min="3" max="3" width="27.00390625" style="177" customWidth="1"/>
    <col min="4" max="16384" width="9.375" style="177" customWidth="1"/>
  </cols>
  <sheetData>
    <row r="1" spans="1:3" ht="33" customHeight="1">
      <c r="A1" s="630" t="str">
        <f>+CONCATENATE("Ibrány Város Önkormányzata ",CONCATENATE(LEFT(ÖSSZEFÜGGÉSEK!A5,4),". évi adósságot keletkeztető fejlesztési céljai"))</f>
        <v>Ibrány Város Önkormányzata 2016. évi adósságot keletkeztető fejlesztési céljai</v>
      </c>
      <c r="B1" s="630"/>
      <c r="C1" s="630"/>
    </row>
    <row r="2" spans="1:4" ht="15.75" customHeight="1" thickBot="1">
      <c r="A2" s="178"/>
      <c r="B2" s="178"/>
      <c r="C2" s="189" t="s">
        <v>56</v>
      </c>
      <c r="D2" s="184"/>
    </row>
    <row r="3" spans="1:3" ht="26.25" customHeight="1" thickBot="1">
      <c r="A3" s="208" t="s">
        <v>17</v>
      </c>
      <c r="B3" s="209" t="s">
        <v>201</v>
      </c>
      <c r="C3" s="210" t="s">
        <v>225</v>
      </c>
    </row>
    <row r="4" spans="1:3" ht="15.75" thickBot="1">
      <c r="A4" s="211"/>
      <c r="B4" s="579" t="s">
        <v>499</v>
      </c>
      <c r="C4" s="580" t="s">
        <v>500</v>
      </c>
    </row>
    <row r="5" spans="1:3" ht="15">
      <c r="A5" s="212" t="s">
        <v>19</v>
      </c>
      <c r="B5" s="219"/>
      <c r="C5" s="216"/>
    </row>
    <row r="6" spans="1:3" ht="15">
      <c r="A6" s="213" t="s">
        <v>20</v>
      </c>
      <c r="B6" s="220"/>
      <c r="C6" s="217"/>
    </row>
    <row r="7" spans="1:3" ht="15.75" thickBot="1">
      <c r="A7" s="214" t="s">
        <v>21</v>
      </c>
      <c r="B7" s="221"/>
      <c r="C7" s="218"/>
    </row>
    <row r="8" spans="1:3" s="526" customFormat="1" ht="17.25" customHeight="1" thickBot="1">
      <c r="A8" s="527" t="s">
        <v>22</v>
      </c>
      <c r="B8" s="158" t="s">
        <v>202</v>
      </c>
      <c r="C8" s="215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...../2016.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"/>
  <sheetViews>
    <sheetView workbookViewId="0" topLeftCell="A1">
      <selection activeCell="A3" sqref="A3:C8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2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642" t="s">
        <v>0</v>
      </c>
      <c r="B1" s="642"/>
      <c r="C1" s="642"/>
      <c r="D1" s="642"/>
      <c r="E1" s="642"/>
      <c r="F1" s="642"/>
    </row>
    <row r="2" spans="1:6" ht="22.5" customHeight="1" thickBot="1">
      <c r="A2" s="224"/>
      <c r="B2" s="62"/>
      <c r="C2" s="62"/>
      <c r="D2" s="62"/>
      <c r="E2" s="62"/>
      <c r="F2" s="58" t="s">
        <v>63</v>
      </c>
    </row>
    <row r="3" spans="1:6" s="51" customFormat="1" ht="44.25" customHeight="1" thickBot="1">
      <c r="A3" s="225" t="s">
        <v>67</v>
      </c>
      <c r="B3" s="226" t="s">
        <v>68</v>
      </c>
      <c r="C3" s="226" t="s">
        <v>69</v>
      </c>
      <c r="D3" s="226" t="str">
        <f>+CONCATENATE("Felhasználás   ",LEFT(ÖSSZEFÜGGÉSEK!A5,4)-1,". XII. 31-ig")</f>
        <v>Felhasználás   2015. XII. 31-ig</v>
      </c>
      <c r="E3" s="226" t="str">
        <f>+'1.1.sz.mell.'!C3</f>
        <v>2016. évi előirányzat</v>
      </c>
      <c r="F3" s="59" t="str">
        <f>+CONCATENATE(LEFT(ÖSSZEFÜGGÉSEK!A5,4),". utáni szükséglet")</f>
        <v>2016. utáni szükséglet</v>
      </c>
    </row>
    <row r="4" spans="1:6" s="62" customFormat="1" ht="12" customHeight="1" thickBot="1">
      <c r="A4" s="60" t="s">
        <v>499</v>
      </c>
      <c r="B4" s="61" t="s">
        <v>500</v>
      </c>
      <c r="C4" s="61" t="s">
        <v>501</v>
      </c>
      <c r="D4" s="61" t="s">
        <v>503</v>
      </c>
      <c r="E4" s="61" t="s">
        <v>502</v>
      </c>
      <c r="F4" s="583" t="s">
        <v>571</v>
      </c>
    </row>
    <row r="5" spans="1:6" ht="15.75" customHeight="1">
      <c r="A5" s="528" t="s">
        <v>665</v>
      </c>
      <c r="B5" s="28">
        <v>18278</v>
      </c>
      <c r="C5" s="530" t="s">
        <v>668</v>
      </c>
      <c r="D5" s="28"/>
      <c r="E5" s="28">
        <v>18278</v>
      </c>
      <c r="F5" s="63">
        <f aca="true" t="shared" si="0" ref="F5:F11">B5-D5-E5</f>
        <v>0</v>
      </c>
    </row>
    <row r="6" spans="1:6" ht="15.75" customHeight="1">
      <c r="A6" s="528" t="s">
        <v>666</v>
      </c>
      <c r="B6" s="28">
        <v>15000</v>
      </c>
      <c r="C6" s="530" t="s">
        <v>668</v>
      </c>
      <c r="D6" s="28"/>
      <c r="E6" s="28">
        <v>15000</v>
      </c>
      <c r="F6" s="63">
        <f t="shared" si="0"/>
        <v>0</v>
      </c>
    </row>
    <row r="7" spans="1:6" ht="15.75" customHeight="1">
      <c r="A7" s="528" t="s">
        <v>667</v>
      </c>
      <c r="B7" s="28">
        <v>4000</v>
      </c>
      <c r="C7" s="530" t="s">
        <v>668</v>
      </c>
      <c r="D7" s="28"/>
      <c r="E7" s="28">
        <v>4000</v>
      </c>
      <c r="F7" s="63">
        <f t="shared" si="0"/>
        <v>0</v>
      </c>
    </row>
    <row r="8" spans="1:6" ht="15.75" customHeight="1">
      <c r="A8" s="529" t="s">
        <v>672</v>
      </c>
      <c r="B8" s="28">
        <v>5730</v>
      </c>
      <c r="C8" s="530" t="s">
        <v>668</v>
      </c>
      <c r="D8" s="28"/>
      <c r="E8" s="28">
        <v>5730</v>
      </c>
      <c r="F8" s="63">
        <f t="shared" si="0"/>
        <v>0</v>
      </c>
    </row>
    <row r="9" spans="1:6" ht="15.75" customHeight="1">
      <c r="A9" s="528"/>
      <c r="B9" s="28"/>
      <c r="C9" s="530"/>
      <c r="D9" s="28"/>
      <c r="E9" s="28"/>
      <c r="F9" s="63">
        <f t="shared" si="0"/>
        <v>0</v>
      </c>
    </row>
    <row r="10" spans="1:6" ht="15.75" customHeight="1">
      <c r="A10" s="528"/>
      <c r="B10" s="28"/>
      <c r="C10" s="530"/>
      <c r="D10" s="28"/>
      <c r="E10" s="28"/>
      <c r="F10" s="63">
        <f t="shared" si="0"/>
        <v>0</v>
      </c>
    </row>
    <row r="11" spans="1:6" ht="15.75" customHeight="1" thickBot="1">
      <c r="A11" s="64"/>
      <c r="B11" s="29"/>
      <c r="C11" s="531"/>
      <c r="D11" s="29"/>
      <c r="E11" s="29"/>
      <c r="F11" s="65">
        <f t="shared" si="0"/>
        <v>0</v>
      </c>
    </row>
    <row r="12" spans="1:6" s="68" customFormat="1" ht="18" customHeight="1" thickBot="1">
      <c r="A12" s="227" t="s">
        <v>66</v>
      </c>
      <c r="B12" s="66">
        <f>SUM(B5:B11)</f>
        <v>43008</v>
      </c>
      <c r="C12" s="145"/>
      <c r="D12" s="66">
        <f>SUM(D5:D11)</f>
        <v>0</v>
      </c>
      <c r="E12" s="66">
        <f>SUM(E5:E11)</f>
        <v>43008</v>
      </c>
      <c r="F12" s="67">
        <f>SUM(F5:F11)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105" r:id="rId1"/>
  <headerFooter alignWithMargins="0">
    <oddHeader>&amp;R&amp;"Times New Roman CE,Félkövér dőlt"&amp;11 6. melléklet a ……/2016.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"/>
  <sheetViews>
    <sheetView workbookViewId="0" topLeftCell="A1">
      <selection activeCell="A3" sqref="A3:C7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642" t="s">
        <v>1</v>
      </c>
      <c r="B1" s="642"/>
      <c r="C1" s="642"/>
      <c r="D1" s="642"/>
      <c r="E1" s="642"/>
      <c r="F1" s="642"/>
    </row>
    <row r="2" spans="1:6" ht="23.25" customHeight="1" thickBot="1">
      <c r="A2" s="224"/>
      <c r="B2" s="62"/>
      <c r="C2" s="62"/>
      <c r="D2" s="62"/>
      <c r="E2" s="62"/>
      <c r="F2" s="58" t="s">
        <v>63</v>
      </c>
    </row>
    <row r="3" spans="1:6" s="51" customFormat="1" ht="48.75" customHeight="1" thickBot="1">
      <c r="A3" s="225" t="s">
        <v>70</v>
      </c>
      <c r="B3" s="226" t="s">
        <v>68</v>
      </c>
      <c r="C3" s="226" t="s">
        <v>69</v>
      </c>
      <c r="D3" s="226" t="str">
        <f>+'6.sz.mell.'!D3</f>
        <v>Felhasználás   2015. XII. 31-ig</v>
      </c>
      <c r="E3" s="226" t="str">
        <f>+'6.sz.mell.'!E3</f>
        <v>2016. évi előirányzat</v>
      </c>
      <c r="F3" s="581" t="str">
        <f>+CONCATENATE(LEFT(ÖSSZEFÜGGÉSEK!A5,4),". utáni szükséglet ",CHAR(10),"")</f>
        <v>2016. utáni szükséglet 
</v>
      </c>
    </row>
    <row r="4" spans="1:6" s="62" customFormat="1" ht="15" customHeight="1" thickBot="1">
      <c r="A4" s="60" t="s">
        <v>499</v>
      </c>
      <c r="B4" s="61" t="s">
        <v>500</v>
      </c>
      <c r="C4" s="61" t="s">
        <v>501</v>
      </c>
      <c r="D4" s="61" t="s">
        <v>503</v>
      </c>
      <c r="E4" s="61" t="s">
        <v>502</v>
      </c>
      <c r="F4" s="584" t="s">
        <v>571</v>
      </c>
    </row>
    <row r="5" spans="1:6" ht="15.75" customHeight="1">
      <c r="A5" s="69" t="s">
        <v>669</v>
      </c>
      <c r="B5" s="70">
        <v>4000</v>
      </c>
      <c r="C5" s="532" t="s">
        <v>668</v>
      </c>
      <c r="D5" s="70"/>
      <c r="E5" s="70">
        <v>4000</v>
      </c>
      <c r="F5" s="71">
        <f aca="true" t="shared" si="0" ref="F5:F11">B5-D5-E5</f>
        <v>0</v>
      </c>
    </row>
    <row r="6" spans="1:6" ht="15.75" customHeight="1">
      <c r="A6" s="69" t="s">
        <v>670</v>
      </c>
      <c r="B6" s="70">
        <v>200</v>
      </c>
      <c r="C6" s="532" t="s">
        <v>668</v>
      </c>
      <c r="D6" s="70"/>
      <c r="E6" s="70">
        <v>200</v>
      </c>
      <c r="F6" s="71">
        <f t="shared" si="0"/>
        <v>0</v>
      </c>
    </row>
    <row r="7" spans="1:6" ht="15.75" customHeight="1">
      <c r="A7" s="69" t="s">
        <v>671</v>
      </c>
      <c r="B7" s="70">
        <v>7000</v>
      </c>
      <c r="C7" s="532" t="s">
        <v>668</v>
      </c>
      <c r="D7" s="70"/>
      <c r="E7" s="70">
        <v>7000</v>
      </c>
      <c r="F7" s="71">
        <f t="shared" si="0"/>
        <v>0</v>
      </c>
    </row>
    <row r="8" spans="1:6" ht="15.75" customHeight="1">
      <c r="A8" s="69"/>
      <c r="B8" s="70"/>
      <c r="C8" s="532"/>
      <c r="D8" s="70"/>
      <c r="E8" s="70"/>
      <c r="F8" s="71">
        <f t="shared" si="0"/>
        <v>0</v>
      </c>
    </row>
    <row r="9" spans="1:6" ht="15.75" customHeight="1">
      <c r="A9" s="69"/>
      <c r="B9" s="70"/>
      <c r="C9" s="532"/>
      <c r="D9" s="70"/>
      <c r="E9" s="70"/>
      <c r="F9" s="71">
        <f t="shared" si="0"/>
        <v>0</v>
      </c>
    </row>
    <row r="10" spans="1:6" ht="15.75" customHeight="1">
      <c r="A10" s="69"/>
      <c r="B10" s="70"/>
      <c r="C10" s="532"/>
      <c r="D10" s="70"/>
      <c r="E10" s="70"/>
      <c r="F10" s="71">
        <f t="shared" si="0"/>
        <v>0</v>
      </c>
    </row>
    <row r="11" spans="1:6" ht="15.75" customHeight="1" thickBot="1">
      <c r="A11" s="72"/>
      <c r="B11" s="73"/>
      <c r="C11" s="533"/>
      <c r="D11" s="73"/>
      <c r="E11" s="73"/>
      <c r="F11" s="74">
        <f t="shared" si="0"/>
        <v>0</v>
      </c>
    </row>
    <row r="12" spans="1:6" s="68" customFormat="1" ht="18" customHeight="1" thickBot="1">
      <c r="A12" s="227" t="s">
        <v>66</v>
      </c>
      <c r="B12" s="228">
        <f>SUM(B5:B11)</f>
        <v>11200</v>
      </c>
      <c r="C12" s="146"/>
      <c r="D12" s="228">
        <f>SUM(D5:D11)</f>
        <v>0</v>
      </c>
      <c r="E12" s="228">
        <f>SUM(E5:E11)</f>
        <v>11200</v>
      </c>
      <c r="F12" s="75">
        <f>SUM(F5:F11)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dőlt"&amp;12 &amp;11 7. melléklet a ……/2016.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C18" sqref="C18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50"/>
      <c r="B1" s="250"/>
      <c r="C1" s="250"/>
      <c r="D1" s="250"/>
      <c r="E1" s="250"/>
    </row>
    <row r="2" spans="1:5" ht="15.75">
      <c r="A2" s="251" t="s">
        <v>142</v>
      </c>
      <c r="B2" s="664"/>
      <c r="C2" s="664"/>
      <c r="D2" s="664"/>
      <c r="E2" s="664"/>
    </row>
    <row r="3" spans="1:5" ht="14.25" thickBot="1">
      <c r="A3" s="250"/>
      <c r="B3" s="250"/>
      <c r="C3" s="250"/>
      <c r="D3" s="665" t="s">
        <v>135</v>
      </c>
      <c r="E3" s="665"/>
    </row>
    <row r="4" spans="1:5" ht="15" customHeight="1" thickBot="1">
      <c r="A4" s="252" t="s">
        <v>134</v>
      </c>
      <c r="B4" s="253" t="str">
        <f>CONCATENATE((LEFT(ÖSSZEFÜGGÉSEK!A5,4)),".")</f>
        <v>2016.</v>
      </c>
      <c r="C4" s="253" t="str">
        <f>CONCATENATE((LEFT(ÖSSZEFÜGGÉSEK!A5,4))+1,".")</f>
        <v>2017.</v>
      </c>
      <c r="D4" s="253" t="str">
        <f>CONCATENATE((LEFT(ÖSSZEFÜGGÉSEK!A5,4))+1,". után")</f>
        <v>2017. után</v>
      </c>
      <c r="E4" s="254" t="s">
        <v>52</v>
      </c>
    </row>
    <row r="5" spans="1:5" ht="12.75">
      <c r="A5" s="255" t="s">
        <v>136</v>
      </c>
      <c r="B5" s="108"/>
      <c r="C5" s="108"/>
      <c r="D5" s="108"/>
      <c r="E5" s="256">
        <f aca="true" t="shared" si="0" ref="E5:E11">SUM(B5:D5)</f>
        <v>0</v>
      </c>
    </row>
    <row r="6" spans="1:5" ht="12.75">
      <c r="A6" s="257" t="s">
        <v>149</v>
      </c>
      <c r="B6" s="109"/>
      <c r="C6" s="109"/>
      <c r="D6" s="109"/>
      <c r="E6" s="258">
        <f t="shared" si="0"/>
        <v>0</v>
      </c>
    </row>
    <row r="7" spans="1:5" ht="12.75">
      <c r="A7" s="259" t="s">
        <v>137</v>
      </c>
      <c r="B7" s="110"/>
      <c r="C7" s="110"/>
      <c r="D7" s="110"/>
      <c r="E7" s="260">
        <f t="shared" si="0"/>
        <v>0</v>
      </c>
    </row>
    <row r="8" spans="1:5" ht="12.75">
      <c r="A8" s="259" t="s">
        <v>150</v>
      </c>
      <c r="B8" s="110"/>
      <c r="C8" s="110"/>
      <c r="D8" s="110"/>
      <c r="E8" s="260">
        <f t="shared" si="0"/>
        <v>0</v>
      </c>
    </row>
    <row r="9" spans="1:5" ht="12.75">
      <c r="A9" s="259" t="s">
        <v>138</v>
      </c>
      <c r="B9" s="110"/>
      <c r="C9" s="110"/>
      <c r="D9" s="110"/>
      <c r="E9" s="260">
        <f t="shared" si="0"/>
        <v>0</v>
      </c>
    </row>
    <row r="10" spans="1:5" ht="12.75">
      <c r="A10" s="259" t="s">
        <v>139</v>
      </c>
      <c r="B10" s="110"/>
      <c r="C10" s="110"/>
      <c r="D10" s="110"/>
      <c r="E10" s="260">
        <f t="shared" si="0"/>
        <v>0</v>
      </c>
    </row>
    <row r="11" spans="1:5" ht="13.5" thickBot="1">
      <c r="A11" s="111"/>
      <c r="B11" s="112"/>
      <c r="C11" s="112"/>
      <c r="D11" s="112"/>
      <c r="E11" s="260">
        <f t="shared" si="0"/>
        <v>0</v>
      </c>
    </row>
    <row r="12" spans="1:5" ht="13.5" thickBot="1">
      <c r="A12" s="261" t="s">
        <v>141</v>
      </c>
      <c r="B12" s="262">
        <f>B5+SUM(B7:B11)</f>
        <v>0</v>
      </c>
      <c r="C12" s="262">
        <f>C5+SUM(C7:C11)</f>
        <v>0</v>
      </c>
      <c r="D12" s="262">
        <f>D5+SUM(D7:D11)</f>
        <v>0</v>
      </c>
      <c r="E12" s="263">
        <f>E5+SUM(E7:E11)</f>
        <v>0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2" t="s">
        <v>140</v>
      </c>
      <c r="B14" s="253" t="str">
        <f>+B4</f>
        <v>2016.</v>
      </c>
      <c r="C14" s="253" t="str">
        <f>+C4</f>
        <v>2017.</v>
      </c>
      <c r="D14" s="253" t="str">
        <f>+D4</f>
        <v>2017. után</v>
      </c>
      <c r="E14" s="254" t="s">
        <v>52</v>
      </c>
    </row>
    <row r="15" spans="1:5" ht="12.75">
      <c r="A15" s="255" t="s">
        <v>145</v>
      </c>
      <c r="B15" s="108"/>
      <c r="C15" s="108"/>
      <c r="D15" s="108"/>
      <c r="E15" s="256">
        <f aca="true" t="shared" si="1" ref="E15:E21">SUM(B15:D15)</f>
        <v>0</v>
      </c>
    </row>
    <row r="16" spans="1:5" ht="12.75">
      <c r="A16" s="264" t="s">
        <v>146</v>
      </c>
      <c r="B16" s="110"/>
      <c r="C16" s="110"/>
      <c r="D16" s="110"/>
      <c r="E16" s="260">
        <f t="shared" si="1"/>
        <v>0</v>
      </c>
    </row>
    <row r="17" spans="1:5" ht="12.75">
      <c r="A17" s="259" t="s">
        <v>147</v>
      </c>
      <c r="B17" s="110"/>
      <c r="C17" s="110"/>
      <c r="D17" s="110"/>
      <c r="E17" s="260">
        <f t="shared" si="1"/>
        <v>0</v>
      </c>
    </row>
    <row r="18" spans="1:5" ht="12.75">
      <c r="A18" s="259" t="s">
        <v>148</v>
      </c>
      <c r="B18" s="110"/>
      <c r="C18" s="110"/>
      <c r="D18" s="110"/>
      <c r="E18" s="260">
        <f t="shared" si="1"/>
        <v>0</v>
      </c>
    </row>
    <row r="19" spans="1:5" ht="12.75">
      <c r="A19" s="113"/>
      <c r="B19" s="110"/>
      <c r="C19" s="110"/>
      <c r="D19" s="110"/>
      <c r="E19" s="260">
        <f t="shared" si="1"/>
        <v>0</v>
      </c>
    </row>
    <row r="20" spans="1:5" ht="12.75">
      <c r="A20" s="113"/>
      <c r="B20" s="110"/>
      <c r="C20" s="110"/>
      <c r="D20" s="110"/>
      <c r="E20" s="260">
        <f t="shared" si="1"/>
        <v>0</v>
      </c>
    </row>
    <row r="21" spans="1:5" ht="13.5" thickBot="1">
      <c r="A21" s="111"/>
      <c r="B21" s="112"/>
      <c r="C21" s="112"/>
      <c r="D21" s="112"/>
      <c r="E21" s="260">
        <f t="shared" si="1"/>
        <v>0</v>
      </c>
    </row>
    <row r="22" spans="1:5" ht="13.5" thickBot="1">
      <c r="A22" s="261" t="s">
        <v>54</v>
      </c>
      <c r="B22" s="262">
        <f>SUM(B15:B21)</f>
        <v>0</v>
      </c>
      <c r="C22" s="262">
        <f>SUM(C15:C21)</f>
        <v>0</v>
      </c>
      <c r="D22" s="262">
        <f>SUM(D15:D21)</f>
        <v>0</v>
      </c>
      <c r="E22" s="263">
        <f>SUM(E15:E21)</f>
        <v>0</v>
      </c>
    </row>
    <row r="23" spans="1:5" ht="12.75">
      <c r="A23" s="250"/>
      <c r="B23" s="250"/>
      <c r="C23" s="250"/>
      <c r="D23" s="250"/>
      <c r="E23" s="250"/>
    </row>
    <row r="24" spans="1:5" ht="12.75">
      <c r="A24" s="250"/>
      <c r="B24" s="250"/>
      <c r="C24" s="250"/>
      <c r="D24" s="250"/>
      <c r="E24" s="250"/>
    </row>
    <row r="25" spans="1:5" ht="15.75">
      <c r="A25" s="251" t="s">
        <v>142</v>
      </c>
      <c r="B25" s="664"/>
      <c r="C25" s="664"/>
      <c r="D25" s="664"/>
      <c r="E25" s="664"/>
    </row>
    <row r="26" spans="1:5" ht="14.25" thickBot="1">
      <c r="A26" s="250"/>
      <c r="B26" s="250"/>
      <c r="C26" s="250"/>
      <c r="D26" s="665" t="s">
        <v>135</v>
      </c>
      <c r="E26" s="665"/>
    </row>
    <row r="27" spans="1:5" ht="13.5" thickBot="1">
      <c r="A27" s="252" t="s">
        <v>134</v>
      </c>
      <c r="B27" s="253" t="str">
        <f>+B14</f>
        <v>2016.</v>
      </c>
      <c r="C27" s="253" t="str">
        <f>+C14</f>
        <v>2017.</v>
      </c>
      <c r="D27" s="253" t="str">
        <f>+D14</f>
        <v>2017. után</v>
      </c>
      <c r="E27" s="254" t="s">
        <v>52</v>
      </c>
    </row>
    <row r="28" spans="1:5" ht="12.75">
      <c r="A28" s="255" t="s">
        <v>136</v>
      </c>
      <c r="B28" s="108"/>
      <c r="C28" s="108"/>
      <c r="D28" s="108"/>
      <c r="E28" s="256">
        <f aca="true" t="shared" si="2" ref="E28:E34">SUM(B28:D28)</f>
        <v>0</v>
      </c>
    </row>
    <row r="29" spans="1:5" ht="12.75">
      <c r="A29" s="257" t="s">
        <v>149</v>
      </c>
      <c r="B29" s="109"/>
      <c r="C29" s="109"/>
      <c r="D29" s="109"/>
      <c r="E29" s="258">
        <f t="shared" si="2"/>
        <v>0</v>
      </c>
    </row>
    <row r="30" spans="1:5" ht="12.75">
      <c r="A30" s="259" t="s">
        <v>137</v>
      </c>
      <c r="B30" s="110"/>
      <c r="C30" s="110"/>
      <c r="D30" s="110"/>
      <c r="E30" s="260">
        <f t="shared" si="2"/>
        <v>0</v>
      </c>
    </row>
    <row r="31" spans="1:5" ht="12.75">
      <c r="A31" s="259" t="s">
        <v>150</v>
      </c>
      <c r="B31" s="110"/>
      <c r="C31" s="110"/>
      <c r="D31" s="110"/>
      <c r="E31" s="260">
        <f t="shared" si="2"/>
        <v>0</v>
      </c>
    </row>
    <row r="32" spans="1:5" ht="12.75">
      <c r="A32" s="259" t="s">
        <v>138</v>
      </c>
      <c r="B32" s="110"/>
      <c r="C32" s="110"/>
      <c r="D32" s="110"/>
      <c r="E32" s="260">
        <f t="shared" si="2"/>
        <v>0</v>
      </c>
    </row>
    <row r="33" spans="1:5" ht="12.75">
      <c r="A33" s="259" t="s">
        <v>139</v>
      </c>
      <c r="B33" s="110"/>
      <c r="C33" s="110"/>
      <c r="D33" s="110"/>
      <c r="E33" s="260">
        <f t="shared" si="2"/>
        <v>0</v>
      </c>
    </row>
    <row r="34" spans="1:5" ht="13.5" thickBot="1">
      <c r="A34" s="111"/>
      <c r="B34" s="112"/>
      <c r="C34" s="112"/>
      <c r="D34" s="112"/>
      <c r="E34" s="260">
        <f t="shared" si="2"/>
        <v>0</v>
      </c>
    </row>
    <row r="35" spans="1:5" ht="13.5" thickBot="1">
      <c r="A35" s="261" t="s">
        <v>141</v>
      </c>
      <c r="B35" s="262">
        <f>B28+SUM(B30:B34)</f>
        <v>0</v>
      </c>
      <c r="C35" s="262">
        <f>C28+SUM(C30:C34)</f>
        <v>0</v>
      </c>
      <c r="D35" s="262">
        <f>D28+SUM(D30:D34)</f>
        <v>0</v>
      </c>
      <c r="E35" s="263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52" t="s">
        <v>140</v>
      </c>
      <c r="B37" s="253" t="str">
        <f>+B27</f>
        <v>2016.</v>
      </c>
      <c r="C37" s="253" t="str">
        <f>+C27</f>
        <v>2017.</v>
      </c>
      <c r="D37" s="253" t="str">
        <f>+D27</f>
        <v>2017. után</v>
      </c>
      <c r="E37" s="254" t="s">
        <v>52</v>
      </c>
    </row>
    <row r="38" spans="1:5" ht="12.75">
      <c r="A38" s="255" t="s">
        <v>145</v>
      </c>
      <c r="B38" s="108"/>
      <c r="C38" s="108"/>
      <c r="D38" s="108"/>
      <c r="E38" s="256">
        <f aca="true" t="shared" si="3" ref="E38:E44">SUM(B38:D38)</f>
        <v>0</v>
      </c>
    </row>
    <row r="39" spans="1:5" ht="12.75">
      <c r="A39" s="264" t="s">
        <v>146</v>
      </c>
      <c r="B39" s="110"/>
      <c r="C39" s="110"/>
      <c r="D39" s="110"/>
      <c r="E39" s="260">
        <f t="shared" si="3"/>
        <v>0</v>
      </c>
    </row>
    <row r="40" spans="1:5" ht="12.75">
      <c r="A40" s="259" t="s">
        <v>147</v>
      </c>
      <c r="B40" s="110"/>
      <c r="C40" s="110"/>
      <c r="D40" s="110"/>
      <c r="E40" s="260">
        <f t="shared" si="3"/>
        <v>0</v>
      </c>
    </row>
    <row r="41" spans="1:5" ht="12.75">
      <c r="A41" s="259" t="s">
        <v>148</v>
      </c>
      <c r="B41" s="110"/>
      <c r="C41" s="110"/>
      <c r="D41" s="110"/>
      <c r="E41" s="260">
        <f t="shared" si="3"/>
        <v>0</v>
      </c>
    </row>
    <row r="42" spans="1:5" ht="12.75">
      <c r="A42" s="113"/>
      <c r="B42" s="110"/>
      <c r="C42" s="110"/>
      <c r="D42" s="110"/>
      <c r="E42" s="260">
        <f t="shared" si="3"/>
        <v>0</v>
      </c>
    </row>
    <row r="43" spans="1:5" ht="12.75">
      <c r="A43" s="113"/>
      <c r="B43" s="110"/>
      <c r="C43" s="110"/>
      <c r="D43" s="110"/>
      <c r="E43" s="260">
        <f t="shared" si="3"/>
        <v>0</v>
      </c>
    </row>
    <row r="44" spans="1:5" ht="13.5" thickBot="1">
      <c r="A44" s="111"/>
      <c r="B44" s="112"/>
      <c r="C44" s="112"/>
      <c r="D44" s="112"/>
      <c r="E44" s="260">
        <f t="shared" si="3"/>
        <v>0</v>
      </c>
    </row>
    <row r="45" spans="1:5" ht="13.5" thickBot="1">
      <c r="A45" s="261" t="s">
        <v>54</v>
      </c>
      <c r="B45" s="262">
        <f>SUM(B38:B44)</f>
        <v>0</v>
      </c>
      <c r="C45" s="262">
        <f>SUM(C38:C44)</f>
        <v>0</v>
      </c>
      <c r="D45" s="262">
        <f>SUM(D38:D44)</f>
        <v>0</v>
      </c>
      <c r="E45" s="263">
        <f>SUM(E38:E44)</f>
        <v>0</v>
      </c>
    </row>
    <row r="46" spans="1:5" ht="12.75">
      <c r="A46" s="250"/>
      <c r="B46" s="250"/>
      <c r="C46" s="250"/>
      <c r="D46" s="250"/>
      <c r="E46" s="250"/>
    </row>
    <row r="47" spans="1:5" ht="15.75">
      <c r="A47" s="650" t="str">
        <f>+CONCATENATE("Önkormányzaton kívüli EU-s projektekhez történő hozzájárulás ",LEFT(ÖSSZEFÜGGÉSEK!A5,4),". évi előirányzat")</f>
        <v>Önkormányzaton kívüli EU-s projektekhez történő hozzájárulás 2016. évi előirányzat</v>
      </c>
      <c r="B47" s="650"/>
      <c r="C47" s="650"/>
      <c r="D47" s="650"/>
      <c r="E47" s="650"/>
    </row>
    <row r="48" spans="1:5" ht="13.5" thickBot="1">
      <c r="A48" s="250"/>
      <c r="B48" s="250"/>
      <c r="C48" s="250"/>
      <c r="D48" s="250"/>
      <c r="E48" s="250"/>
    </row>
    <row r="49" spans="1:8" ht="13.5" thickBot="1">
      <c r="A49" s="655" t="s">
        <v>143</v>
      </c>
      <c r="B49" s="656"/>
      <c r="C49" s="657"/>
      <c r="D49" s="653" t="s">
        <v>151</v>
      </c>
      <c r="E49" s="654"/>
      <c r="H49" s="54"/>
    </row>
    <row r="50" spans="1:5" ht="12.75">
      <c r="A50" s="658"/>
      <c r="B50" s="659"/>
      <c r="C50" s="660"/>
      <c r="D50" s="646"/>
      <c r="E50" s="647"/>
    </row>
    <row r="51" spans="1:5" ht="13.5" thickBot="1">
      <c r="A51" s="661"/>
      <c r="B51" s="662"/>
      <c r="C51" s="663"/>
      <c r="D51" s="648"/>
      <c r="E51" s="649"/>
    </row>
    <row r="52" spans="1:5" ht="13.5" thickBot="1">
      <c r="A52" s="643" t="s">
        <v>54</v>
      </c>
      <c r="B52" s="644"/>
      <c r="C52" s="645"/>
      <c r="D52" s="651">
        <f>SUM(D50:E51)</f>
        <v>0</v>
      </c>
      <c r="E52" s="652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……/2016.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58">
      <selection activeCell="C143" sqref="C143"/>
    </sheetView>
  </sheetViews>
  <sheetFormatPr defaultColWidth="9.00390625" defaultRowHeight="12.75"/>
  <cols>
    <col min="1" max="1" width="19.50390625" style="444" customWidth="1"/>
    <col min="2" max="2" width="72.00390625" style="445" customWidth="1"/>
    <col min="3" max="3" width="25.00390625" style="446" customWidth="1"/>
    <col min="4" max="4" width="9.375" style="3" customWidth="1"/>
    <col min="5" max="5" width="13.125" style="3" bestFit="1" customWidth="1"/>
    <col min="6" max="16384" width="9.375" style="3" customWidth="1"/>
  </cols>
  <sheetData>
    <row r="1" spans="1:3" s="2" customFormat="1" ht="16.5" customHeight="1" thickBot="1">
      <c r="A1" s="265"/>
      <c r="B1" s="267"/>
      <c r="C1" s="290" t="str">
        <f>+CONCATENATE("9.1. melléklet a ……/",LEFT(ÖSSZEFÜGGÉSEK!A5,4),". (….) önkormányzati rendelethez")</f>
        <v>9.1. melléklet a ……/2016. (….) önkormányzati rendelethez</v>
      </c>
    </row>
    <row r="2" spans="1:3" s="114" customFormat="1" ht="21" customHeight="1">
      <c r="A2" s="461" t="s">
        <v>64</v>
      </c>
      <c r="B2" s="403" t="s">
        <v>575</v>
      </c>
      <c r="C2" s="405" t="s">
        <v>55</v>
      </c>
    </row>
    <row r="3" spans="1:3" s="114" customFormat="1" ht="16.5" thickBot="1">
      <c r="A3" s="268" t="s">
        <v>204</v>
      </c>
      <c r="B3" s="404" t="s">
        <v>405</v>
      </c>
      <c r="C3" s="552"/>
    </row>
    <row r="4" spans="1:3" s="115" customFormat="1" ht="15.75" customHeight="1" thickBot="1">
      <c r="A4" s="269"/>
      <c r="B4" s="269"/>
      <c r="C4" s="270" t="s">
        <v>583</v>
      </c>
    </row>
    <row r="5" spans="1:3" ht="13.5" thickBot="1">
      <c r="A5" s="462" t="s">
        <v>206</v>
      </c>
      <c r="B5" s="271" t="s">
        <v>572</v>
      </c>
      <c r="C5" s="406" t="s">
        <v>57</v>
      </c>
    </row>
    <row r="6" spans="1:3" s="76" customFormat="1" ht="12.75" customHeight="1" thickBot="1">
      <c r="A6" s="232"/>
      <c r="B6" s="233" t="s">
        <v>499</v>
      </c>
      <c r="C6" s="234" t="s">
        <v>500</v>
      </c>
    </row>
    <row r="7" spans="1:3" s="76" customFormat="1" ht="15.75" customHeight="1" thickBot="1">
      <c r="A7" s="273"/>
      <c r="B7" s="274" t="s">
        <v>58</v>
      </c>
      <c r="C7" s="407"/>
    </row>
    <row r="8" spans="1:3" s="76" customFormat="1" ht="12" customHeight="1" thickBot="1">
      <c r="A8" s="37" t="s">
        <v>19</v>
      </c>
      <c r="B8" s="21" t="s">
        <v>255</v>
      </c>
      <c r="C8" s="342">
        <f>+C9+C10+C11+C12+C13+C14</f>
        <v>840689736</v>
      </c>
    </row>
    <row r="9" spans="1:3" s="116" customFormat="1" ht="12" customHeight="1">
      <c r="A9" s="490" t="s">
        <v>101</v>
      </c>
      <c r="B9" s="471" t="s">
        <v>256</v>
      </c>
      <c r="C9" s="345">
        <f>'9.1.1. sz. mell ÖNK'!C9+'9.1.2. sz. mell ÖNK'!C9+'9.1.3. sz. mell ÖNK'!C9</f>
        <v>165437120</v>
      </c>
    </row>
    <row r="10" spans="1:5" s="117" customFormat="1" ht="12" customHeight="1">
      <c r="A10" s="491" t="s">
        <v>102</v>
      </c>
      <c r="B10" s="472" t="s">
        <v>257</v>
      </c>
      <c r="C10" s="345">
        <f>'9.1.1. sz. mell ÖNK'!C10+'9.1.2. sz. mell ÖNK'!C10+'9.1.3. sz. mell ÖNK'!C10</f>
        <v>109277466</v>
      </c>
      <c r="E10" s="599">
        <f>SUM(C9:C12)</f>
        <v>458736310</v>
      </c>
    </row>
    <row r="11" spans="1:3" s="117" customFormat="1" ht="12" customHeight="1">
      <c r="A11" s="491" t="s">
        <v>103</v>
      </c>
      <c r="B11" s="472" t="s">
        <v>558</v>
      </c>
      <c r="C11" s="345">
        <f>'9.1.1. sz. mell ÖNK'!C11+'9.1.2. sz. mell ÖNK'!C11+'9.1.3. sz. mell ÖNK'!C11</f>
        <v>176005244</v>
      </c>
    </row>
    <row r="12" spans="1:3" s="117" customFormat="1" ht="12" customHeight="1">
      <c r="A12" s="491" t="s">
        <v>104</v>
      </c>
      <c r="B12" s="472" t="s">
        <v>259</v>
      </c>
      <c r="C12" s="345">
        <f>'9.1.1. sz. mell ÖNK'!C12+'9.1.2. sz. mell ÖNK'!C12+'9.1.3. sz. mell ÖNK'!C12</f>
        <v>8016480</v>
      </c>
    </row>
    <row r="13" spans="1:3" s="117" customFormat="1" ht="12" customHeight="1">
      <c r="A13" s="491" t="s">
        <v>152</v>
      </c>
      <c r="B13" s="472" t="s">
        <v>512</v>
      </c>
      <c r="C13" s="345">
        <f>'9.1.1. sz. mell ÖNK'!C13+'9.1.2. sz. mell ÖNK'!C13+'9.1.3. sz. mell ÖNK'!C13</f>
        <v>376281448</v>
      </c>
    </row>
    <row r="14" spans="1:3" s="116" customFormat="1" ht="12" customHeight="1" thickBot="1">
      <c r="A14" s="492" t="s">
        <v>105</v>
      </c>
      <c r="B14" s="473" t="s">
        <v>440</v>
      </c>
      <c r="C14" s="345">
        <f>'9.1.1. sz. mell ÖNK'!C14+'9.1.2. sz. mell ÖNK'!C14+'9.1.3. sz. mell ÖNK'!C14</f>
        <v>5671978</v>
      </c>
    </row>
    <row r="15" spans="1:3" s="116" customFormat="1" ht="12" customHeight="1" thickBot="1">
      <c r="A15" s="37" t="s">
        <v>20</v>
      </c>
      <c r="B15" s="337" t="s">
        <v>260</v>
      </c>
      <c r="C15" s="342">
        <f>+C16+C17+C18+C19+C20</f>
        <v>0</v>
      </c>
    </row>
    <row r="16" spans="1:3" s="116" customFormat="1" ht="12" customHeight="1">
      <c r="A16" s="490" t="s">
        <v>107</v>
      </c>
      <c r="B16" s="471" t="s">
        <v>261</v>
      </c>
      <c r="C16" s="345">
        <f>'9.1.1. sz. mell ÖNK'!C16+'9.1.2. sz. mell ÖNK'!C16+'9.1.3. sz. mell ÖNK'!C16</f>
        <v>0</v>
      </c>
    </row>
    <row r="17" spans="1:3" s="116" customFormat="1" ht="12" customHeight="1">
      <c r="A17" s="491" t="s">
        <v>108</v>
      </c>
      <c r="B17" s="472" t="s">
        <v>262</v>
      </c>
      <c r="C17" s="345">
        <f>'9.1.1. sz. mell ÖNK'!C17+'9.1.2. sz. mell ÖNK'!C17+'9.1.3. sz. mell ÖNK'!C17</f>
        <v>0</v>
      </c>
    </row>
    <row r="18" spans="1:3" s="116" customFormat="1" ht="12" customHeight="1">
      <c r="A18" s="491" t="s">
        <v>109</v>
      </c>
      <c r="B18" s="472" t="s">
        <v>429</v>
      </c>
      <c r="C18" s="345">
        <f>'9.1.1. sz. mell ÖNK'!C18+'9.1.2. sz. mell ÖNK'!C18+'9.1.3. sz. mell ÖNK'!C18</f>
        <v>0</v>
      </c>
    </row>
    <row r="19" spans="1:3" s="116" customFormat="1" ht="12" customHeight="1">
      <c r="A19" s="491" t="s">
        <v>110</v>
      </c>
      <c r="B19" s="472" t="s">
        <v>430</v>
      </c>
      <c r="C19" s="345">
        <f>'9.1.1. sz. mell ÖNK'!C19+'9.1.2. sz. mell ÖNK'!C19+'9.1.3. sz. mell ÖNK'!C19</f>
        <v>0</v>
      </c>
    </row>
    <row r="20" spans="1:3" s="116" customFormat="1" ht="12" customHeight="1">
      <c r="A20" s="491" t="s">
        <v>111</v>
      </c>
      <c r="B20" s="472" t="s">
        <v>263</v>
      </c>
      <c r="C20" s="345">
        <f>'9.1.1. sz. mell ÖNK'!C20+'9.1.2. sz. mell ÖNK'!C20+'9.1.3. sz. mell ÖNK'!C20</f>
        <v>0</v>
      </c>
    </row>
    <row r="21" spans="1:3" s="117" customFormat="1" ht="12" customHeight="1" thickBot="1">
      <c r="A21" s="492" t="s">
        <v>120</v>
      </c>
      <c r="B21" s="473" t="s">
        <v>264</v>
      </c>
      <c r="C21" s="345">
        <f>'9.1.1. sz. mell ÖNK'!C21+'9.1.2. sz. mell ÖNK'!C21+'9.1.3. sz. mell ÖNK'!C21</f>
        <v>0</v>
      </c>
    </row>
    <row r="22" spans="1:3" s="117" customFormat="1" ht="12" customHeight="1" thickBot="1">
      <c r="A22" s="37" t="s">
        <v>21</v>
      </c>
      <c r="B22" s="21" t="s">
        <v>265</v>
      </c>
      <c r="C22" s="342">
        <f>+C23+C24+C25+C26+C27</f>
        <v>0</v>
      </c>
    </row>
    <row r="23" spans="1:3" s="117" customFormat="1" ht="12" customHeight="1">
      <c r="A23" s="490" t="s">
        <v>90</v>
      </c>
      <c r="B23" s="471" t="s">
        <v>266</v>
      </c>
      <c r="C23" s="345">
        <f>'9.1.1. sz. mell ÖNK'!C23+'9.1.2. sz. mell ÖNK'!C23+'9.1.3. sz. mell ÖNK'!C23</f>
        <v>0</v>
      </c>
    </row>
    <row r="24" spans="1:3" s="116" customFormat="1" ht="12" customHeight="1">
      <c r="A24" s="491" t="s">
        <v>91</v>
      </c>
      <c r="B24" s="472" t="s">
        <v>267</v>
      </c>
      <c r="C24" s="345">
        <f>'9.1.1. sz. mell ÖNK'!C24+'9.1.2. sz. mell ÖNK'!C24+'9.1.3. sz. mell ÖNK'!C24</f>
        <v>0</v>
      </c>
    </row>
    <row r="25" spans="1:3" s="117" customFormat="1" ht="12" customHeight="1">
      <c r="A25" s="491" t="s">
        <v>92</v>
      </c>
      <c r="B25" s="472" t="s">
        <v>431</v>
      </c>
      <c r="C25" s="345">
        <f>'9.1.1. sz. mell ÖNK'!C25+'9.1.2. sz. mell ÖNK'!C25+'9.1.3. sz. mell ÖNK'!C25</f>
        <v>0</v>
      </c>
    </row>
    <row r="26" spans="1:3" s="117" customFormat="1" ht="12" customHeight="1">
      <c r="A26" s="491" t="s">
        <v>93</v>
      </c>
      <c r="B26" s="472" t="s">
        <v>432</v>
      </c>
      <c r="C26" s="345">
        <f>'9.1.1. sz. mell ÖNK'!C26+'9.1.2. sz. mell ÖNK'!C26+'9.1.3. sz. mell ÖNK'!C26</f>
        <v>0</v>
      </c>
    </row>
    <row r="27" spans="1:3" s="117" customFormat="1" ht="12" customHeight="1">
      <c r="A27" s="491" t="s">
        <v>172</v>
      </c>
      <c r="B27" s="472" t="s">
        <v>268</v>
      </c>
      <c r="C27" s="345">
        <f>'9.1.1. sz. mell ÖNK'!C27+'9.1.2. sz. mell ÖNK'!C27+'9.1.3. sz. mell ÖNK'!C27</f>
        <v>0</v>
      </c>
    </row>
    <row r="28" spans="1:3" s="117" customFormat="1" ht="12" customHeight="1" thickBot="1">
      <c r="A28" s="492" t="s">
        <v>173</v>
      </c>
      <c r="B28" s="473" t="s">
        <v>269</v>
      </c>
      <c r="C28" s="345">
        <f>'9.1.1. sz. mell ÖNK'!C28+'9.1.2. sz. mell ÖNK'!C28+'9.1.3. sz. mell ÖNK'!C28</f>
        <v>0</v>
      </c>
    </row>
    <row r="29" spans="1:3" s="117" customFormat="1" ht="12" customHeight="1" thickBot="1">
      <c r="A29" s="37" t="s">
        <v>174</v>
      </c>
      <c r="B29" s="21" t="s">
        <v>569</v>
      </c>
      <c r="C29" s="348">
        <f>+C30+C34+C35+C36+C32+C33</f>
        <v>96540000</v>
      </c>
    </row>
    <row r="30" spans="1:3" s="117" customFormat="1" ht="12" customHeight="1">
      <c r="A30" s="490" t="s">
        <v>271</v>
      </c>
      <c r="B30" s="471" t="s">
        <v>563</v>
      </c>
      <c r="C30" s="466">
        <f>'9.1.1. sz. mell ÖNK'!C30+'9.1.2. sz. mell ÖNK'!C30+'9.1.3. sz. mell ÖNK'!C30</f>
        <v>0</v>
      </c>
    </row>
    <row r="31" spans="1:3" s="117" customFormat="1" ht="12" customHeight="1">
      <c r="A31" s="491" t="s">
        <v>272</v>
      </c>
      <c r="B31" s="472" t="s">
        <v>564</v>
      </c>
      <c r="C31" s="466">
        <f>'9.1.1. sz. mell ÖNK'!C31+'9.1.2. sz. mell ÖNK'!C31+'9.1.3. sz. mell ÖNK'!C31</f>
        <v>0</v>
      </c>
    </row>
    <row r="32" spans="1:3" s="117" customFormat="1" ht="12" customHeight="1">
      <c r="A32" s="491" t="s">
        <v>273</v>
      </c>
      <c r="B32" s="472" t="s">
        <v>565</v>
      </c>
      <c r="C32" s="466">
        <f>'9.1.1. sz. mell ÖNK'!C32+'9.1.2. sz. mell ÖNK'!C32+'9.1.3. sz. mell ÖNK'!C32</f>
        <v>67800000</v>
      </c>
    </row>
    <row r="33" spans="1:3" s="117" customFormat="1" ht="12" customHeight="1">
      <c r="A33" s="491" t="s">
        <v>274</v>
      </c>
      <c r="B33" s="472" t="s">
        <v>566</v>
      </c>
      <c r="C33" s="466">
        <f>'9.1.1. sz. mell ÖNK'!C33+'9.1.2. sz. mell ÖNK'!C33+'9.1.3. sz. mell ÖNK'!C33</f>
        <v>40000</v>
      </c>
    </row>
    <row r="34" spans="1:3" s="117" customFormat="1" ht="12" customHeight="1">
      <c r="A34" s="491" t="s">
        <v>560</v>
      </c>
      <c r="B34" s="472" t="s">
        <v>275</v>
      </c>
      <c r="C34" s="466">
        <f>'9.1.1. sz. mell ÖNK'!C34+'9.1.2. sz. mell ÖNK'!C34+'9.1.3. sz. mell ÖNK'!C34</f>
        <v>13500000</v>
      </c>
    </row>
    <row r="35" spans="1:3" s="117" customFormat="1" ht="12" customHeight="1">
      <c r="A35" s="491" t="s">
        <v>561</v>
      </c>
      <c r="B35" s="472" t="s">
        <v>276</v>
      </c>
      <c r="C35" s="466">
        <f>'9.1.1. sz. mell ÖNK'!C35+'9.1.2. sz. mell ÖNK'!C35+'9.1.3. sz. mell ÖNK'!C35</f>
        <v>0</v>
      </c>
    </row>
    <row r="36" spans="1:3" s="117" customFormat="1" ht="12" customHeight="1" thickBot="1">
      <c r="A36" s="492" t="s">
        <v>562</v>
      </c>
      <c r="B36" s="578" t="s">
        <v>277</v>
      </c>
      <c r="C36" s="466">
        <f>'9.1.1. sz. mell ÖNK'!C36+'9.1.2. sz. mell ÖNK'!C36+'9.1.3. sz. mell ÖNK'!C36</f>
        <v>15200000</v>
      </c>
    </row>
    <row r="37" spans="1:3" s="117" customFormat="1" ht="12" customHeight="1" thickBot="1">
      <c r="A37" s="37" t="s">
        <v>23</v>
      </c>
      <c r="B37" s="21" t="s">
        <v>441</v>
      </c>
      <c r="C37" s="342">
        <f>SUM(C38:C48)</f>
        <v>32189000</v>
      </c>
    </row>
    <row r="38" spans="1:3" s="117" customFormat="1" ht="12" customHeight="1">
      <c r="A38" s="490" t="s">
        <v>94</v>
      </c>
      <c r="B38" s="471" t="s">
        <v>280</v>
      </c>
      <c r="C38" s="345">
        <f>'9.1.1. sz. mell ÖNK'!C38+'9.1.2. sz. mell ÖNK'!C38+'9.1.3. sz. mell ÖNK'!C38</f>
        <v>7087000</v>
      </c>
    </row>
    <row r="39" spans="1:3" s="117" customFormat="1" ht="12" customHeight="1">
      <c r="A39" s="491" t="s">
        <v>95</v>
      </c>
      <c r="B39" s="472" t="s">
        <v>281</v>
      </c>
      <c r="C39" s="345">
        <f>'9.1.1. sz. mell ÖNK'!C39+'9.1.2. sz. mell ÖNK'!C39+'9.1.3. sz. mell ÖNK'!C39</f>
        <v>11300000</v>
      </c>
    </row>
    <row r="40" spans="1:3" s="117" customFormat="1" ht="12" customHeight="1">
      <c r="A40" s="491" t="s">
        <v>96</v>
      </c>
      <c r="B40" s="472" t="s">
        <v>282</v>
      </c>
      <c r="C40" s="345">
        <f>'9.1.1. sz. mell ÖNK'!C40+'9.1.2. sz. mell ÖNK'!C40+'9.1.3. sz. mell ÖNK'!C40</f>
        <v>1500000</v>
      </c>
    </row>
    <row r="41" spans="1:3" s="117" customFormat="1" ht="12" customHeight="1">
      <c r="A41" s="491" t="s">
        <v>176</v>
      </c>
      <c r="B41" s="472" t="s">
        <v>283</v>
      </c>
      <c r="C41" s="345">
        <f>'9.1.1. sz. mell ÖNK'!C41+'9.1.2. sz. mell ÖNK'!C41+'9.1.3. sz. mell ÖNK'!C41</f>
        <v>3500000</v>
      </c>
    </row>
    <row r="42" spans="1:3" s="117" customFormat="1" ht="12" customHeight="1">
      <c r="A42" s="491" t="s">
        <v>177</v>
      </c>
      <c r="B42" s="472" t="s">
        <v>284</v>
      </c>
      <c r="C42" s="345">
        <f>'9.1.1. sz. mell ÖNK'!C42+'9.1.2. sz. mell ÖNK'!C42+'9.1.3. sz. mell ÖNK'!C42</f>
        <v>0</v>
      </c>
    </row>
    <row r="43" spans="1:3" s="117" customFormat="1" ht="12" customHeight="1">
      <c r="A43" s="491" t="s">
        <v>178</v>
      </c>
      <c r="B43" s="472" t="s">
        <v>285</v>
      </c>
      <c r="C43" s="345">
        <f>'9.1.1. sz. mell ÖNK'!C43+'9.1.2. sz. mell ÖNK'!C43+'9.1.3. sz. mell ÖNK'!C43</f>
        <v>8802000</v>
      </c>
    </row>
    <row r="44" spans="1:3" s="117" customFormat="1" ht="12" customHeight="1">
      <c r="A44" s="491" t="s">
        <v>179</v>
      </c>
      <c r="B44" s="472" t="s">
        <v>286</v>
      </c>
      <c r="C44" s="345">
        <f>'9.1.1. sz. mell ÖNK'!C44+'9.1.2. sz. mell ÖNK'!C44+'9.1.3. sz. mell ÖNK'!C44</f>
        <v>0</v>
      </c>
    </row>
    <row r="45" spans="1:3" s="117" customFormat="1" ht="12" customHeight="1">
      <c r="A45" s="491" t="s">
        <v>180</v>
      </c>
      <c r="B45" s="472" t="s">
        <v>568</v>
      </c>
      <c r="C45" s="345">
        <f>'9.1.1. sz. mell ÖNK'!C45+'9.1.2. sz. mell ÖNK'!C45+'9.1.3. sz. mell ÖNK'!C45</f>
        <v>0</v>
      </c>
    </row>
    <row r="46" spans="1:3" s="117" customFormat="1" ht="12" customHeight="1">
      <c r="A46" s="491" t="s">
        <v>278</v>
      </c>
      <c r="B46" s="472" t="s">
        <v>288</v>
      </c>
      <c r="C46" s="345">
        <f>'9.1.1. sz. mell ÖNK'!C46+'9.1.2. sz. mell ÖNK'!C46+'9.1.3. sz. mell ÖNK'!C46</f>
        <v>0</v>
      </c>
    </row>
    <row r="47" spans="1:3" s="117" customFormat="1" ht="12" customHeight="1">
      <c r="A47" s="492" t="s">
        <v>279</v>
      </c>
      <c r="B47" s="473" t="s">
        <v>443</v>
      </c>
      <c r="C47" s="345">
        <f>'9.1.1. sz. mell ÖNK'!C47+'9.1.2. sz. mell ÖNK'!C47+'9.1.3. sz. mell ÖNK'!C47</f>
        <v>0</v>
      </c>
    </row>
    <row r="48" spans="1:3" s="117" customFormat="1" ht="12" customHeight="1" thickBot="1">
      <c r="A48" s="492" t="s">
        <v>442</v>
      </c>
      <c r="B48" s="473" t="s">
        <v>289</v>
      </c>
      <c r="C48" s="345">
        <f>'9.1.1. sz. mell ÖNK'!C48+'9.1.2. sz. mell ÖNK'!C48+'9.1.3. sz. mell ÖNK'!C48</f>
        <v>0</v>
      </c>
    </row>
    <row r="49" spans="1:3" s="117" customFormat="1" ht="12" customHeight="1" thickBot="1">
      <c r="A49" s="37" t="s">
        <v>24</v>
      </c>
      <c r="B49" s="21" t="s">
        <v>290</v>
      </c>
      <c r="C49" s="342">
        <f>SUM(C50:C54)</f>
        <v>12712000</v>
      </c>
    </row>
    <row r="50" spans="1:3" s="117" customFormat="1" ht="12" customHeight="1">
      <c r="A50" s="490" t="s">
        <v>97</v>
      </c>
      <c r="B50" s="471" t="s">
        <v>294</v>
      </c>
      <c r="C50" s="516">
        <f>'9.1.1. sz. mell ÖNK'!C50+'9.1.2. sz. mell ÖNK'!C50+'9.1.3. sz. mell ÖNK'!C50</f>
        <v>0</v>
      </c>
    </row>
    <row r="51" spans="1:3" s="117" customFormat="1" ht="12" customHeight="1">
      <c r="A51" s="491" t="s">
        <v>98</v>
      </c>
      <c r="B51" s="472" t="s">
        <v>295</v>
      </c>
      <c r="C51" s="516">
        <f>'9.1.1. sz. mell ÖNK'!C51+'9.1.2. sz. mell ÖNK'!C51+'9.1.3. sz. mell ÖNK'!C51</f>
        <v>10712000</v>
      </c>
    </row>
    <row r="52" spans="1:3" s="117" customFormat="1" ht="12" customHeight="1">
      <c r="A52" s="491" t="s">
        <v>291</v>
      </c>
      <c r="B52" s="472" t="s">
        <v>296</v>
      </c>
      <c r="C52" s="516">
        <f>'9.1.1. sz. mell ÖNK'!C52+'9.1.2. sz. mell ÖNK'!C52+'9.1.3. sz. mell ÖNK'!C52</f>
        <v>2000000</v>
      </c>
    </row>
    <row r="53" spans="1:3" s="117" customFormat="1" ht="12" customHeight="1">
      <c r="A53" s="491" t="s">
        <v>292</v>
      </c>
      <c r="B53" s="472" t="s">
        <v>297</v>
      </c>
      <c r="C53" s="516">
        <f>'9.1.1. sz. mell ÖNK'!C53+'9.1.2. sz. mell ÖNK'!C53+'9.1.3. sz. mell ÖNK'!C53</f>
        <v>0</v>
      </c>
    </row>
    <row r="54" spans="1:3" s="117" customFormat="1" ht="12" customHeight="1" thickBot="1">
      <c r="A54" s="492" t="s">
        <v>293</v>
      </c>
      <c r="B54" s="473" t="s">
        <v>298</v>
      </c>
      <c r="C54" s="516">
        <f>'9.1.1. sz. mell ÖNK'!C54+'9.1.2. sz. mell ÖNK'!C54+'9.1.3. sz. mell ÖNK'!C54</f>
        <v>0</v>
      </c>
    </row>
    <row r="55" spans="1:3" s="117" customFormat="1" ht="12" customHeight="1" thickBot="1">
      <c r="A55" s="37" t="s">
        <v>181</v>
      </c>
      <c r="B55" s="21" t="s">
        <v>299</v>
      </c>
      <c r="C55" s="342">
        <f>SUM(C56:C58)</f>
        <v>0</v>
      </c>
    </row>
    <row r="56" spans="1:3" s="117" customFormat="1" ht="12" customHeight="1">
      <c r="A56" s="490" t="s">
        <v>99</v>
      </c>
      <c r="B56" s="471" t="s">
        <v>300</v>
      </c>
      <c r="C56" s="345">
        <f>'9.1.1. sz. mell ÖNK'!C56+'9.1.2. sz. mell ÖNK'!C56+'9.1.3. sz. mell ÖNK'!C56</f>
        <v>0</v>
      </c>
    </row>
    <row r="57" spans="1:3" s="117" customFormat="1" ht="12" customHeight="1">
      <c r="A57" s="491" t="s">
        <v>100</v>
      </c>
      <c r="B57" s="472" t="s">
        <v>433</v>
      </c>
      <c r="C57" s="345">
        <f>'9.1.1. sz. mell ÖNK'!C57+'9.1.2. sz. mell ÖNK'!C57+'9.1.3. sz. mell ÖNK'!C57</f>
        <v>0</v>
      </c>
    </row>
    <row r="58" spans="1:3" s="117" customFormat="1" ht="12" customHeight="1">
      <c r="A58" s="491" t="s">
        <v>303</v>
      </c>
      <c r="B58" s="472" t="s">
        <v>301</v>
      </c>
      <c r="C58" s="345">
        <f>'9.1.1. sz. mell ÖNK'!C58+'9.1.2. sz. mell ÖNK'!C58+'9.1.3. sz. mell ÖNK'!C58</f>
        <v>0</v>
      </c>
    </row>
    <row r="59" spans="1:3" s="117" customFormat="1" ht="12" customHeight="1" thickBot="1">
      <c r="A59" s="492" t="s">
        <v>304</v>
      </c>
      <c r="B59" s="473" t="s">
        <v>302</v>
      </c>
      <c r="C59" s="345">
        <f>'9.1.1. sz. mell ÖNK'!C59+'9.1.2. sz. mell ÖNK'!C59+'9.1.3. sz. mell ÖNK'!C59</f>
        <v>0</v>
      </c>
    </row>
    <row r="60" spans="1:3" s="117" customFormat="1" ht="12" customHeight="1" thickBot="1">
      <c r="A60" s="37" t="s">
        <v>26</v>
      </c>
      <c r="B60" s="337" t="s">
        <v>305</v>
      </c>
      <c r="C60" s="342">
        <f>SUM(C61:C63)</f>
        <v>17810000</v>
      </c>
    </row>
    <row r="61" spans="1:3" s="117" customFormat="1" ht="12" customHeight="1">
      <c r="A61" s="490" t="s">
        <v>182</v>
      </c>
      <c r="B61" s="471" t="s">
        <v>307</v>
      </c>
      <c r="C61" s="347">
        <f>'9.1.1. sz. mell ÖNK'!C61+'9.1.2. sz. mell ÖNK'!C61+'9.1.3. sz. mell ÖNK'!C61</f>
        <v>0</v>
      </c>
    </row>
    <row r="62" spans="1:3" s="117" customFormat="1" ht="12" customHeight="1">
      <c r="A62" s="491" t="s">
        <v>183</v>
      </c>
      <c r="B62" s="472" t="s">
        <v>434</v>
      </c>
      <c r="C62" s="347">
        <f>'9.1.1. sz. mell ÖNK'!C62+'9.1.2. sz. mell ÖNK'!C62+'9.1.3. sz. mell ÖNK'!C62</f>
        <v>810000</v>
      </c>
    </row>
    <row r="63" spans="1:3" s="117" customFormat="1" ht="12" customHeight="1">
      <c r="A63" s="491" t="s">
        <v>231</v>
      </c>
      <c r="B63" s="472" t="s">
        <v>308</v>
      </c>
      <c r="C63" s="347">
        <f>'9.1.1. sz. mell ÖNK'!C63+'9.1.2. sz. mell ÖNK'!C63+'9.1.3. sz. mell ÖNK'!C63</f>
        <v>17000000</v>
      </c>
    </row>
    <row r="64" spans="1:3" s="117" customFormat="1" ht="12" customHeight="1" thickBot="1">
      <c r="A64" s="492" t="s">
        <v>306</v>
      </c>
      <c r="B64" s="473" t="s">
        <v>309</v>
      </c>
      <c r="C64" s="347">
        <f>'9.1.1. sz. mell ÖNK'!C64+'9.1.2. sz. mell ÖNK'!C64+'9.1.3. sz. mell ÖNK'!C64</f>
        <v>0</v>
      </c>
    </row>
    <row r="65" spans="1:3" s="117" customFormat="1" ht="12" customHeight="1" thickBot="1">
      <c r="A65" s="37" t="s">
        <v>27</v>
      </c>
      <c r="B65" s="21" t="s">
        <v>310</v>
      </c>
      <c r="C65" s="348">
        <f>+C8+C15+C22+C29+C37+C49+C55+C60</f>
        <v>999940736</v>
      </c>
    </row>
    <row r="66" spans="1:3" s="117" customFormat="1" ht="12" customHeight="1" thickBot="1">
      <c r="A66" s="493" t="s">
        <v>401</v>
      </c>
      <c r="B66" s="337" t="s">
        <v>312</v>
      </c>
      <c r="C66" s="342">
        <f>SUM(C67:C69)</f>
        <v>45359000</v>
      </c>
    </row>
    <row r="67" spans="1:3" s="117" customFormat="1" ht="12" customHeight="1">
      <c r="A67" s="490" t="s">
        <v>343</v>
      </c>
      <c r="B67" s="471" t="s">
        <v>313</v>
      </c>
      <c r="C67" s="347">
        <f>'9.1.1. sz. mell ÖNK'!C67+'9.1.2. sz. mell ÖNK'!C67+'9.1.3. sz. mell ÖNK'!C67</f>
        <v>45359000</v>
      </c>
    </row>
    <row r="68" spans="1:3" s="117" customFormat="1" ht="12" customHeight="1">
      <c r="A68" s="491" t="s">
        <v>352</v>
      </c>
      <c r="B68" s="472" t="s">
        <v>314</v>
      </c>
      <c r="C68" s="347">
        <f>'9.1.1. sz. mell ÖNK'!C68+'9.1.2. sz. mell ÖNK'!C68+'9.1.3. sz. mell ÖNK'!C68</f>
        <v>0</v>
      </c>
    </row>
    <row r="69" spans="1:3" s="117" customFormat="1" ht="12" customHeight="1" thickBot="1">
      <c r="A69" s="492" t="s">
        <v>353</v>
      </c>
      <c r="B69" s="474" t="s">
        <v>315</v>
      </c>
      <c r="C69" s="347">
        <f>'9.1.1. sz. mell ÖNK'!C69+'9.1.2. sz. mell ÖNK'!C69+'9.1.3. sz. mell ÖNK'!C69</f>
        <v>0</v>
      </c>
    </row>
    <row r="70" spans="1:3" s="117" customFormat="1" ht="12" customHeight="1" thickBot="1">
      <c r="A70" s="493" t="s">
        <v>316</v>
      </c>
      <c r="B70" s="337" t="s">
        <v>317</v>
      </c>
      <c r="C70" s="342">
        <f>SUM(C71:C74)</f>
        <v>0</v>
      </c>
    </row>
    <row r="71" spans="1:3" s="117" customFormat="1" ht="12" customHeight="1">
      <c r="A71" s="490" t="s">
        <v>153</v>
      </c>
      <c r="B71" s="471" t="s">
        <v>318</v>
      </c>
      <c r="C71" s="347">
        <f>'9.1.1. sz. mell ÖNK'!C71+'9.1.2. sz. mell ÖNK'!C71+'9.1.3. sz. mell ÖNK'!C71</f>
        <v>0</v>
      </c>
    </row>
    <row r="72" spans="1:3" s="117" customFormat="1" ht="12" customHeight="1">
      <c r="A72" s="491" t="s">
        <v>154</v>
      </c>
      <c r="B72" s="472" t="s">
        <v>319</v>
      </c>
      <c r="C72" s="347">
        <f>'9.1.1. sz. mell ÖNK'!C72+'9.1.2. sz. mell ÖNK'!C72+'9.1.3. sz. mell ÖNK'!C72</f>
        <v>0</v>
      </c>
    </row>
    <row r="73" spans="1:3" s="117" customFormat="1" ht="12" customHeight="1">
      <c r="A73" s="491" t="s">
        <v>344</v>
      </c>
      <c r="B73" s="472" t="s">
        <v>320</v>
      </c>
      <c r="C73" s="347">
        <f>'9.1.1. sz. mell ÖNK'!C73+'9.1.2. sz. mell ÖNK'!C73+'9.1.3. sz. mell ÖNK'!C73</f>
        <v>0</v>
      </c>
    </row>
    <row r="74" spans="1:3" s="117" customFormat="1" ht="12" customHeight="1" thickBot="1">
      <c r="A74" s="492" t="s">
        <v>345</v>
      </c>
      <c r="B74" s="473" t="s">
        <v>321</v>
      </c>
      <c r="C74" s="347">
        <f>'9.1.1. sz. mell ÖNK'!C74+'9.1.2. sz. mell ÖNK'!C74+'9.1.3. sz. mell ÖNK'!C74</f>
        <v>0</v>
      </c>
    </row>
    <row r="75" spans="1:3" s="117" customFormat="1" ht="12" customHeight="1" thickBot="1">
      <c r="A75" s="493" t="s">
        <v>322</v>
      </c>
      <c r="B75" s="337" t="s">
        <v>323</v>
      </c>
      <c r="C75" s="342">
        <f>SUM(C76:C77)</f>
        <v>40000000</v>
      </c>
    </row>
    <row r="76" spans="1:3" s="117" customFormat="1" ht="12" customHeight="1">
      <c r="A76" s="490" t="s">
        <v>346</v>
      </c>
      <c r="B76" s="471" t="s">
        <v>324</v>
      </c>
      <c r="C76" s="347">
        <f>'9.1.1. sz. mell ÖNK'!C76+'9.1.2. sz. mell ÖNK'!C76+'9.1.3. sz. mell ÖNK'!C76</f>
        <v>40000000</v>
      </c>
    </row>
    <row r="77" spans="1:3" s="117" customFormat="1" ht="12" customHeight="1" thickBot="1">
      <c r="A77" s="492" t="s">
        <v>347</v>
      </c>
      <c r="B77" s="473" t="s">
        <v>325</v>
      </c>
      <c r="C77" s="347">
        <f>'9.1.1. sz. mell ÖNK'!C77+'9.1.2. sz. mell ÖNK'!C77+'9.1.3. sz. mell ÖNK'!C77</f>
        <v>0</v>
      </c>
    </row>
    <row r="78" spans="1:3" s="116" customFormat="1" ht="12" customHeight="1" thickBot="1">
      <c r="A78" s="493" t="s">
        <v>326</v>
      </c>
      <c r="B78" s="337" t="s">
        <v>327</v>
      </c>
      <c r="C78" s="342">
        <f>SUM(C79:C81)</f>
        <v>0</v>
      </c>
    </row>
    <row r="79" spans="1:3" s="117" customFormat="1" ht="12" customHeight="1">
      <c r="A79" s="490" t="s">
        <v>348</v>
      </c>
      <c r="B79" s="471" t="s">
        <v>328</v>
      </c>
      <c r="C79" s="347">
        <f>'9.1.1. sz. mell ÖNK'!C79+'9.1.2. sz. mell ÖNK'!C79+'9.1.3. sz. mell ÖNK'!C79</f>
        <v>0</v>
      </c>
    </row>
    <row r="80" spans="1:3" s="117" customFormat="1" ht="12" customHeight="1">
      <c r="A80" s="491" t="s">
        <v>349</v>
      </c>
      <c r="B80" s="472" t="s">
        <v>329</v>
      </c>
      <c r="C80" s="347">
        <f>'9.1.1. sz. mell ÖNK'!C80+'9.1.2. sz. mell ÖNK'!C80+'9.1.3. sz. mell ÖNK'!C80</f>
        <v>0</v>
      </c>
    </row>
    <row r="81" spans="1:3" s="117" customFormat="1" ht="12" customHeight="1" thickBot="1">
      <c r="A81" s="492" t="s">
        <v>350</v>
      </c>
      <c r="B81" s="473" t="s">
        <v>330</v>
      </c>
      <c r="C81" s="347">
        <f>'9.1.1. sz. mell ÖNK'!C81+'9.1.2. sz. mell ÖNK'!C81+'9.1.3. sz. mell ÖNK'!C81</f>
        <v>0</v>
      </c>
    </row>
    <row r="82" spans="1:3" s="117" customFormat="1" ht="12" customHeight="1" thickBot="1">
      <c r="A82" s="493" t="s">
        <v>331</v>
      </c>
      <c r="B82" s="337" t="s">
        <v>351</v>
      </c>
      <c r="C82" s="342">
        <f>SUM(C83:C86)</f>
        <v>0</v>
      </c>
    </row>
    <row r="83" spans="1:3" s="117" customFormat="1" ht="12" customHeight="1">
      <c r="A83" s="494" t="s">
        <v>332</v>
      </c>
      <c r="B83" s="471" t="s">
        <v>333</v>
      </c>
      <c r="C83" s="347">
        <f>'9.1.1. sz. mell ÖNK'!C83+'9.1.2. sz. mell ÖNK'!C83+'9.1.3. sz. mell ÖNK'!C83</f>
        <v>0</v>
      </c>
    </row>
    <row r="84" spans="1:3" s="117" customFormat="1" ht="12" customHeight="1">
      <c r="A84" s="495" t="s">
        <v>334</v>
      </c>
      <c r="B84" s="472" t="s">
        <v>335</v>
      </c>
      <c r="C84" s="347">
        <f>'9.1.1. sz. mell ÖNK'!C84+'9.1.2. sz. mell ÖNK'!C84+'9.1.3. sz. mell ÖNK'!C84</f>
        <v>0</v>
      </c>
    </row>
    <row r="85" spans="1:3" s="117" customFormat="1" ht="12" customHeight="1">
      <c r="A85" s="495" t="s">
        <v>336</v>
      </c>
      <c r="B85" s="472" t="s">
        <v>337</v>
      </c>
      <c r="C85" s="347">
        <f>'9.1.1. sz. mell ÖNK'!C85+'9.1.2. sz. mell ÖNK'!C85+'9.1.3. sz. mell ÖNK'!C85</f>
        <v>0</v>
      </c>
    </row>
    <row r="86" spans="1:3" s="116" customFormat="1" ht="12" customHeight="1" thickBot="1">
      <c r="A86" s="496" t="s">
        <v>338</v>
      </c>
      <c r="B86" s="473" t="s">
        <v>339</v>
      </c>
      <c r="C86" s="347">
        <f>'9.1.1. sz. mell ÖNK'!C86+'9.1.2. sz. mell ÖNK'!C86+'9.1.3. sz. mell ÖNK'!C86</f>
        <v>0</v>
      </c>
    </row>
    <row r="87" spans="1:3" s="116" customFormat="1" ht="12" customHeight="1" thickBot="1">
      <c r="A87" s="493" t="s">
        <v>340</v>
      </c>
      <c r="B87" s="337" t="s">
        <v>482</v>
      </c>
      <c r="C87" s="517"/>
    </row>
    <row r="88" spans="1:3" s="116" customFormat="1" ht="12" customHeight="1" thickBot="1">
      <c r="A88" s="493" t="s">
        <v>513</v>
      </c>
      <c r="B88" s="337" t="s">
        <v>341</v>
      </c>
      <c r="C88" s="517"/>
    </row>
    <row r="89" spans="1:3" s="116" customFormat="1" ht="12" customHeight="1" thickBot="1">
      <c r="A89" s="493" t="s">
        <v>514</v>
      </c>
      <c r="B89" s="478" t="s">
        <v>485</v>
      </c>
      <c r="C89" s="348">
        <f>+C66+C70+C75+C78+C82+C88+C87</f>
        <v>85359000</v>
      </c>
    </row>
    <row r="90" spans="1:3" s="116" customFormat="1" ht="12" customHeight="1" thickBot="1">
      <c r="A90" s="497" t="s">
        <v>515</v>
      </c>
      <c r="B90" s="479" t="s">
        <v>516</v>
      </c>
      <c r="C90" s="348">
        <f>+C65+C89</f>
        <v>1085299736</v>
      </c>
    </row>
    <row r="91" spans="1:3" s="117" customFormat="1" ht="15" customHeight="1" thickBot="1">
      <c r="A91" s="279"/>
      <c r="B91" s="280"/>
      <c r="C91" s="412"/>
    </row>
    <row r="92" spans="1:3" s="76" customFormat="1" ht="16.5" customHeight="1" thickBot="1">
      <c r="A92" s="283"/>
      <c r="B92" s="284" t="s">
        <v>59</v>
      </c>
      <c r="C92" s="414"/>
    </row>
    <row r="93" spans="1:3" s="118" customFormat="1" ht="12" customHeight="1" thickBot="1">
      <c r="A93" s="463" t="s">
        <v>19</v>
      </c>
      <c r="B93" s="31" t="s">
        <v>520</v>
      </c>
      <c r="C93" s="341">
        <f>+C94+C95+C96+C97+C98+C111</f>
        <v>558205000</v>
      </c>
    </row>
    <row r="94" spans="1:3" ht="12" customHeight="1">
      <c r="A94" s="498" t="s">
        <v>101</v>
      </c>
      <c r="B94" s="10" t="s">
        <v>50</v>
      </c>
      <c r="C94" s="592">
        <f>'9.1.1. sz. mell ÖNK'!C94+'9.1.2. sz. mell ÖNK'!C94+'9.1.3. sz. mell ÖNK'!C94</f>
        <v>288867000</v>
      </c>
    </row>
    <row r="95" spans="1:3" ht="12" customHeight="1">
      <c r="A95" s="491" t="s">
        <v>102</v>
      </c>
      <c r="B95" s="8" t="s">
        <v>184</v>
      </c>
      <c r="C95" s="344">
        <f>'9.1.1. sz. mell ÖNK'!C95+'9.1.2. sz. mell ÖNK'!C95+'9.1.3. sz. mell ÖNK'!C95</f>
        <v>43267000</v>
      </c>
    </row>
    <row r="96" spans="1:3" ht="12" customHeight="1">
      <c r="A96" s="491" t="s">
        <v>103</v>
      </c>
      <c r="B96" s="8" t="s">
        <v>144</v>
      </c>
      <c r="C96" s="593">
        <f>'9.1.1. sz. mell ÖNK'!C96+'9.1.2. sz. mell ÖNK'!C96+'9.1.3. sz. mell ÖNK'!C96</f>
        <v>132739000</v>
      </c>
    </row>
    <row r="97" spans="1:3" ht="12" customHeight="1">
      <c r="A97" s="491" t="s">
        <v>104</v>
      </c>
      <c r="B97" s="11" t="s">
        <v>185</v>
      </c>
      <c r="C97" s="344">
        <f>'9.1.1. sz. mell ÖNK'!C97+'9.1.2. sz. mell ÖNK'!C97+'9.1.3. sz. mell ÖNK'!C97</f>
        <v>35992000</v>
      </c>
    </row>
    <row r="98" spans="1:3" ht="12" customHeight="1">
      <c r="A98" s="491" t="s">
        <v>115</v>
      </c>
      <c r="B98" s="19" t="s">
        <v>186</v>
      </c>
      <c r="C98" s="593">
        <f>'9.1.1. sz. mell ÖNK'!C98+'9.1.2. sz. mell ÖNK'!C98+'9.1.3. sz. mell ÖNK'!C98</f>
        <v>57340000</v>
      </c>
    </row>
    <row r="99" spans="1:3" ht="12" customHeight="1">
      <c r="A99" s="491" t="s">
        <v>105</v>
      </c>
      <c r="B99" s="8" t="s">
        <v>517</v>
      </c>
      <c r="C99" s="344">
        <f>'9.1.1. sz. mell ÖNK'!C99+'9.1.2. sz. mell ÖNK'!C99+'9.1.3. sz. mell ÖNK'!C99</f>
        <v>0</v>
      </c>
    </row>
    <row r="100" spans="1:3" ht="12" customHeight="1">
      <c r="A100" s="491" t="s">
        <v>106</v>
      </c>
      <c r="B100" s="170" t="s">
        <v>448</v>
      </c>
      <c r="C100" s="593">
        <f>'9.1.1. sz. mell ÖNK'!C100+'9.1.2. sz. mell ÖNK'!C100+'9.1.3. sz. mell ÖNK'!C100</f>
        <v>0</v>
      </c>
    </row>
    <row r="101" spans="1:3" ht="12" customHeight="1">
      <c r="A101" s="491" t="s">
        <v>116</v>
      </c>
      <c r="B101" s="170" t="s">
        <v>447</v>
      </c>
      <c r="C101" s="344">
        <f>'9.1.1. sz. mell ÖNK'!C101+'9.1.2. sz. mell ÖNK'!C101+'9.1.3. sz. mell ÖNK'!C101</f>
        <v>0</v>
      </c>
    </row>
    <row r="102" spans="1:3" ht="12" customHeight="1">
      <c r="A102" s="491" t="s">
        <v>117</v>
      </c>
      <c r="B102" s="170" t="s">
        <v>357</v>
      </c>
      <c r="C102" s="593">
        <f>'9.1.1. sz. mell ÖNK'!C102+'9.1.2. sz. mell ÖNK'!C102+'9.1.3. sz. mell ÖNK'!C102</f>
        <v>0</v>
      </c>
    </row>
    <row r="103" spans="1:3" ht="12" customHeight="1">
      <c r="A103" s="491" t="s">
        <v>118</v>
      </c>
      <c r="B103" s="171" t="s">
        <v>358</v>
      </c>
      <c r="C103" s="344">
        <f>'9.1.1. sz. mell ÖNK'!C103+'9.1.2. sz. mell ÖNK'!C103+'9.1.3. sz. mell ÖNK'!C103</f>
        <v>0</v>
      </c>
    </row>
    <row r="104" spans="1:3" ht="12" customHeight="1">
      <c r="A104" s="491" t="s">
        <v>119</v>
      </c>
      <c r="B104" s="171" t="s">
        <v>359</v>
      </c>
      <c r="C104" s="593">
        <f>'9.1.1. sz. mell ÖNK'!C104+'9.1.2. sz. mell ÖNK'!C104+'9.1.3. sz. mell ÖNK'!C104</f>
        <v>0</v>
      </c>
    </row>
    <row r="105" spans="1:3" ht="12" customHeight="1">
      <c r="A105" s="491" t="s">
        <v>121</v>
      </c>
      <c r="B105" s="170" t="s">
        <v>360</v>
      </c>
      <c r="C105" s="344">
        <f>'9.1.1. sz. mell ÖNK'!C105+'9.1.2. sz. mell ÖNK'!C105+'9.1.3. sz. mell ÖNK'!C105</f>
        <v>40740000</v>
      </c>
    </row>
    <row r="106" spans="1:3" ht="12" customHeight="1">
      <c r="A106" s="491" t="s">
        <v>187</v>
      </c>
      <c r="B106" s="170" t="s">
        <v>361</v>
      </c>
      <c r="C106" s="344">
        <f>'9.1.1. sz. mell ÖNK'!C106+'9.1.2. sz. mell ÖNK'!C106+'9.1.3. sz. mell ÖNK'!C106</f>
        <v>0</v>
      </c>
    </row>
    <row r="107" spans="1:5" ht="12" customHeight="1">
      <c r="A107" s="491" t="s">
        <v>355</v>
      </c>
      <c r="B107" s="171" t="s">
        <v>362</v>
      </c>
      <c r="C107" s="344">
        <f>'9.1.1. sz. mell ÖNK'!C107+'9.1.2. sz. mell ÖNK'!C107+'9.1.3. sz. mell ÖNK'!C107</f>
        <v>0</v>
      </c>
      <c r="E107" s="48">
        <f>C155-C90</f>
        <v>0</v>
      </c>
    </row>
    <row r="108" spans="1:3" ht="12" customHeight="1">
      <c r="A108" s="499" t="s">
        <v>356</v>
      </c>
      <c r="B108" s="172" t="s">
        <v>363</v>
      </c>
      <c r="C108" s="344">
        <f>'9.1.1. sz. mell ÖNK'!C108+'9.1.2. sz. mell ÖNK'!C108+'9.1.3. sz. mell ÖNK'!C108</f>
        <v>0</v>
      </c>
    </row>
    <row r="109" spans="1:3" ht="12" customHeight="1">
      <c r="A109" s="491" t="s">
        <v>445</v>
      </c>
      <c r="B109" s="172" t="s">
        <v>364</v>
      </c>
      <c r="C109" s="344">
        <f>'9.1.1. sz. mell ÖNK'!C109+'9.1.2. sz. mell ÖNK'!C109+'9.1.3. sz. mell ÖNK'!C109</f>
        <v>0</v>
      </c>
    </row>
    <row r="110" spans="1:3" ht="12" customHeight="1">
      <c r="A110" s="491" t="s">
        <v>446</v>
      </c>
      <c r="B110" s="171" t="s">
        <v>365</v>
      </c>
      <c r="C110" s="344">
        <f>'9.1.1. sz. mell ÖNK'!C110+'9.1.2. sz. mell ÖNK'!C110+'9.1.3. sz. mell ÖNK'!C110</f>
        <v>16600000</v>
      </c>
    </row>
    <row r="111" spans="1:3" ht="12" customHeight="1">
      <c r="A111" s="491" t="s">
        <v>450</v>
      </c>
      <c r="B111" s="11" t="s">
        <v>51</v>
      </c>
      <c r="C111" s="344">
        <f>'9.1.1. sz. mell ÖNK'!C111+'9.1.2. sz. mell ÖNK'!C111+'9.1.3. sz. mell ÖNK'!C111</f>
        <v>0</v>
      </c>
    </row>
    <row r="112" spans="1:3" ht="12" customHeight="1">
      <c r="A112" s="492" t="s">
        <v>451</v>
      </c>
      <c r="B112" s="8" t="s">
        <v>518</v>
      </c>
      <c r="C112" s="344">
        <f>'9.1.1. sz. mell ÖNK'!C112+'9.1.2. sz. mell ÖNK'!C112+'9.1.3. sz. mell ÖNK'!C112</f>
        <v>0</v>
      </c>
    </row>
    <row r="113" spans="1:3" ht="12" customHeight="1" thickBot="1">
      <c r="A113" s="500" t="s">
        <v>452</v>
      </c>
      <c r="B113" s="173" t="s">
        <v>519</v>
      </c>
      <c r="C113" s="345">
        <f>'9.1.1. sz. mell ÖNK'!C113+'9.1.2. sz. mell ÖNK'!C113+'9.1.3. sz. mell ÖNK'!C113</f>
        <v>0</v>
      </c>
    </row>
    <row r="114" spans="1:3" ht="12" customHeight="1" thickBot="1">
      <c r="A114" s="37" t="s">
        <v>20</v>
      </c>
      <c r="B114" s="30" t="s">
        <v>366</v>
      </c>
      <c r="C114" s="342">
        <f>+C115+C117+C119</f>
        <v>65878000</v>
      </c>
    </row>
    <row r="115" spans="1:3" ht="12" customHeight="1">
      <c r="A115" s="490" t="s">
        <v>107</v>
      </c>
      <c r="B115" s="8" t="s">
        <v>229</v>
      </c>
      <c r="C115" s="345">
        <f>'9.1.1. sz. mell ÖNK'!C115+'9.1.2. sz. mell ÖNK'!C115+'9.1.3. sz. mell ÖNK'!C94</f>
        <v>61278000</v>
      </c>
    </row>
    <row r="116" spans="1:3" ht="12" customHeight="1">
      <c r="A116" s="490" t="s">
        <v>108</v>
      </c>
      <c r="B116" s="12" t="s">
        <v>370</v>
      </c>
      <c r="C116" s="345">
        <f>'9.1.1. sz. mell ÖNK'!C116+'9.1.2. sz. mell ÖNK'!C116+'9.1.3. sz. mell ÖNK'!C95</f>
        <v>0</v>
      </c>
    </row>
    <row r="117" spans="1:3" ht="12" customHeight="1">
      <c r="A117" s="490" t="s">
        <v>109</v>
      </c>
      <c r="B117" s="12" t="s">
        <v>188</v>
      </c>
      <c r="C117" s="345">
        <f>'9.1.1. sz. mell ÖNK'!C117+'9.1.2. sz. mell ÖNK'!C117+'9.1.3. sz. mell ÖNK'!C96</f>
        <v>4600000</v>
      </c>
    </row>
    <row r="118" spans="1:3" ht="12" customHeight="1">
      <c r="A118" s="490" t="s">
        <v>110</v>
      </c>
      <c r="B118" s="12" t="s">
        <v>371</v>
      </c>
      <c r="C118" s="345">
        <f>'9.1.1. sz. mell ÖNK'!C118+'9.1.2. sz. mell ÖNK'!C118+'9.1.3. sz. mell ÖNK'!C97</f>
        <v>0</v>
      </c>
    </row>
    <row r="119" spans="1:3" ht="12" customHeight="1">
      <c r="A119" s="490" t="s">
        <v>111</v>
      </c>
      <c r="B119" s="339" t="s">
        <v>232</v>
      </c>
      <c r="C119" s="345">
        <f>'9.1.1. sz. mell ÖNK'!C119+'9.1.2. sz. mell ÖNK'!C119+'9.1.3. sz. mell ÖNK'!C98</f>
        <v>0</v>
      </c>
    </row>
    <row r="120" spans="1:3" ht="12" customHeight="1">
      <c r="A120" s="490" t="s">
        <v>120</v>
      </c>
      <c r="B120" s="338" t="s">
        <v>435</v>
      </c>
      <c r="C120" s="345">
        <f>'9.1.1. sz. mell ÖNK'!C120+'9.1.2. sz. mell ÖNK'!C120+'9.1.3. sz. mell ÖNK'!C99</f>
        <v>0</v>
      </c>
    </row>
    <row r="121" spans="1:3" ht="12" customHeight="1">
      <c r="A121" s="490" t="s">
        <v>122</v>
      </c>
      <c r="B121" s="467" t="s">
        <v>376</v>
      </c>
      <c r="C121" s="345">
        <f>'9.1.1. sz. mell ÖNK'!C121+'9.1.2. sz. mell ÖNK'!C121+'9.1.3. sz. mell ÖNK'!C100</f>
        <v>0</v>
      </c>
    </row>
    <row r="122" spans="1:3" ht="12" customHeight="1">
      <c r="A122" s="490" t="s">
        <v>189</v>
      </c>
      <c r="B122" s="171" t="s">
        <v>359</v>
      </c>
      <c r="C122" s="345">
        <f>'9.1.1. sz. mell ÖNK'!C122+'9.1.2. sz. mell ÖNK'!C122+'9.1.3. sz. mell ÖNK'!C101</f>
        <v>0</v>
      </c>
    </row>
    <row r="123" spans="1:3" ht="12" customHeight="1">
      <c r="A123" s="490" t="s">
        <v>190</v>
      </c>
      <c r="B123" s="171" t="s">
        <v>375</v>
      </c>
      <c r="C123" s="345">
        <f>'9.1.1. sz. mell ÖNK'!C123+'9.1.2. sz. mell ÖNK'!C123+'9.1.3. sz. mell ÖNK'!C102</f>
        <v>0</v>
      </c>
    </row>
    <row r="124" spans="1:3" ht="12" customHeight="1">
      <c r="A124" s="490" t="s">
        <v>191</v>
      </c>
      <c r="B124" s="171" t="s">
        <v>374</v>
      </c>
      <c r="C124" s="345">
        <f>'9.1.1. sz. mell ÖNK'!C124+'9.1.2. sz. mell ÖNK'!C124+'9.1.3. sz. mell ÖNK'!C103</f>
        <v>0</v>
      </c>
    </row>
    <row r="125" spans="1:3" ht="12" customHeight="1">
      <c r="A125" s="490" t="s">
        <v>367</v>
      </c>
      <c r="B125" s="171" t="s">
        <v>362</v>
      </c>
      <c r="C125" s="345">
        <f>'9.1.1. sz. mell ÖNK'!C125+'9.1.2. sz. mell ÖNK'!C125+'9.1.3. sz. mell ÖNK'!C104</f>
        <v>0</v>
      </c>
    </row>
    <row r="126" spans="1:3" ht="12" customHeight="1">
      <c r="A126" s="490" t="s">
        <v>368</v>
      </c>
      <c r="B126" s="171" t="s">
        <v>373</v>
      </c>
      <c r="C126" s="345">
        <f>'9.1.1. sz. mell ÖNK'!C126+'9.1.2. sz. mell ÖNK'!C126+'9.1.3. sz. mell ÖNK'!C105</f>
        <v>0</v>
      </c>
    </row>
    <row r="127" spans="1:3" ht="12" customHeight="1" thickBot="1">
      <c r="A127" s="499" t="s">
        <v>369</v>
      </c>
      <c r="B127" s="171" t="s">
        <v>372</v>
      </c>
      <c r="C127" s="345">
        <f>'9.1.1. sz. mell ÖNK'!C127+'9.1.2. sz. mell ÖNK'!C127+'9.1.3. sz. mell ÖNK'!C106</f>
        <v>0</v>
      </c>
    </row>
    <row r="128" spans="1:3" ht="12" customHeight="1" thickBot="1">
      <c r="A128" s="37" t="s">
        <v>21</v>
      </c>
      <c r="B128" s="151" t="s">
        <v>455</v>
      </c>
      <c r="C128" s="342">
        <f>+C93+C114</f>
        <v>624083000</v>
      </c>
    </row>
    <row r="129" spans="1:3" ht="12" customHeight="1" thickBot="1">
      <c r="A129" s="37" t="s">
        <v>22</v>
      </c>
      <c r="B129" s="151" t="s">
        <v>456</v>
      </c>
      <c r="C129" s="342">
        <f>+C130+C131+C132</f>
        <v>1633000</v>
      </c>
    </row>
    <row r="130" spans="1:3" s="118" customFormat="1" ht="12" customHeight="1">
      <c r="A130" s="490" t="s">
        <v>271</v>
      </c>
      <c r="B130" s="9" t="s">
        <v>523</v>
      </c>
      <c r="C130" s="309">
        <f>'9.1.1. sz. mell ÖNK'!C130+'9.1.2. sz. mell ÖNK'!C130+'9.1.3. sz. mell ÖNK'!C130</f>
        <v>1633000</v>
      </c>
    </row>
    <row r="131" spans="1:3" ht="12" customHeight="1">
      <c r="A131" s="490" t="s">
        <v>272</v>
      </c>
      <c r="B131" s="9" t="s">
        <v>464</v>
      </c>
      <c r="C131" s="309">
        <f>'9.1.1. sz. mell ÖNK'!C131+'9.1.2. sz. mell ÖNK'!C131+'9.1.3. sz. mell ÖNK'!C131</f>
        <v>0</v>
      </c>
    </row>
    <row r="132" spans="1:3" ht="12" customHeight="1" thickBot="1">
      <c r="A132" s="499" t="s">
        <v>273</v>
      </c>
      <c r="B132" s="7" t="s">
        <v>522</v>
      </c>
      <c r="C132" s="309">
        <f>'9.1.1. sz. mell ÖNK'!C132+'9.1.2. sz. mell ÖNK'!C132+'9.1.3. sz. mell ÖNK'!C132</f>
        <v>0</v>
      </c>
    </row>
    <row r="133" spans="1:3" ht="12" customHeight="1" thickBot="1">
      <c r="A133" s="37" t="s">
        <v>23</v>
      </c>
      <c r="B133" s="151" t="s">
        <v>457</v>
      </c>
      <c r="C133" s="342">
        <f>+C134+C135+C136+C137+C138+C139</f>
        <v>0</v>
      </c>
    </row>
    <row r="134" spans="1:3" ht="12" customHeight="1">
      <c r="A134" s="490" t="s">
        <v>94</v>
      </c>
      <c r="B134" s="9" t="s">
        <v>466</v>
      </c>
      <c r="C134" s="309">
        <f>'9.1.1. sz. mell ÖNK'!C134+'9.1.2. sz. mell ÖNK'!C134+'9.1.3. sz. mell ÖNK'!C134</f>
        <v>0</v>
      </c>
    </row>
    <row r="135" spans="1:3" ht="12" customHeight="1">
      <c r="A135" s="490" t="s">
        <v>95</v>
      </c>
      <c r="B135" s="9" t="s">
        <v>458</v>
      </c>
      <c r="C135" s="309">
        <f>'9.1.1. sz. mell ÖNK'!C135+'9.1.2. sz. mell ÖNK'!C135+'9.1.3. sz. mell ÖNK'!C135</f>
        <v>0</v>
      </c>
    </row>
    <row r="136" spans="1:3" ht="12" customHeight="1">
      <c r="A136" s="490" t="s">
        <v>96</v>
      </c>
      <c r="B136" s="9" t="s">
        <v>459</v>
      </c>
      <c r="C136" s="309">
        <f>'9.1.1. sz. mell ÖNK'!C136+'9.1.2. sz. mell ÖNK'!C136+'9.1.3. sz. mell ÖNK'!C136</f>
        <v>0</v>
      </c>
    </row>
    <row r="137" spans="1:3" ht="12" customHeight="1">
      <c r="A137" s="490" t="s">
        <v>176</v>
      </c>
      <c r="B137" s="9" t="s">
        <v>521</v>
      </c>
      <c r="C137" s="309">
        <f>'9.1.1. sz. mell ÖNK'!C137+'9.1.2. sz. mell ÖNK'!C137+'9.1.3. sz. mell ÖNK'!C137</f>
        <v>0</v>
      </c>
    </row>
    <row r="138" spans="1:3" ht="12" customHeight="1">
      <c r="A138" s="490" t="s">
        <v>177</v>
      </c>
      <c r="B138" s="9" t="s">
        <v>461</v>
      </c>
      <c r="C138" s="309">
        <f>'9.1.1. sz. mell ÖNK'!C138+'9.1.2. sz. mell ÖNK'!C138+'9.1.3. sz. mell ÖNK'!C138</f>
        <v>0</v>
      </c>
    </row>
    <row r="139" spans="1:3" s="118" customFormat="1" ht="12" customHeight="1" thickBot="1">
      <c r="A139" s="499" t="s">
        <v>178</v>
      </c>
      <c r="B139" s="7" t="s">
        <v>462</v>
      </c>
      <c r="C139" s="309">
        <f>'9.1.1. sz. mell ÖNK'!C139+'9.1.2. sz. mell ÖNK'!C139+'9.1.3. sz. mell ÖNK'!C139</f>
        <v>0</v>
      </c>
    </row>
    <row r="140" spans="1:11" ht="12" customHeight="1" thickBot="1">
      <c r="A140" s="37" t="s">
        <v>24</v>
      </c>
      <c r="B140" s="151" t="s">
        <v>549</v>
      </c>
      <c r="C140" s="348">
        <f>+C141+C142+C144+C145+C143</f>
        <v>459583736</v>
      </c>
      <c r="K140" s="291"/>
    </row>
    <row r="141" spans="1:3" ht="12.75">
      <c r="A141" s="490" t="s">
        <v>97</v>
      </c>
      <c r="B141" s="9" t="s">
        <v>377</v>
      </c>
      <c r="C141" s="309">
        <f>'9.1.1. sz. mell ÖNK'!C141+'9.1.2. sz. mell ÖNK'!C141+'9.1.3. sz. mell ÖNK'!C141</f>
        <v>0</v>
      </c>
    </row>
    <row r="142" spans="1:3" ht="12" customHeight="1">
      <c r="A142" s="490" t="s">
        <v>98</v>
      </c>
      <c r="B142" s="9" t="s">
        <v>378</v>
      </c>
      <c r="C142" s="309">
        <f>'9.1.1. sz. mell ÖNK'!C142+'9.1.2. sz. mell ÖNK'!C142+'9.1.3. sz. mell ÖNK'!C142</f>
        <v>0</v>
      </c>
    </row>
    <row r="143" spans="1:3" ht="12" customHeight="1">
      <c r="A143" s="490" t="s">
        <v>291</v>
      </c>
      <c r="B143" s="9" t="s">
        <v>548</v>
      </c>
      <c r="C143" s="309">
        <f>'9.1.1. sz. mell ÖNK'!C143+'9.1.2. sz. mell ÖNK'!C143+'9.1.3. sz. mell ÖNK'!C143</f>
        <v>458683736</v>
      </c>
    </row>
    <row r="144" spans="1:3" s="118" customFormat="1" ht="12" customHeight="1">
      <c r="A144" s="490" t="s">
        <v>292</v>
      </c>
      <c r="B144" s="9" t="s">
        <v>471</v>
      </c>
      <c r="C144" s="309">
        <f>'9.1.1. sz. mell ÖNK'!C144+'9.1.2. sz. mell ÖNK'!C144+'9.1.3. sz. mell ÖNK'!C144</f>
        <v>0</v>
      </c>
    </row>
    <row r="145" spans="1:3" s="118" customFormat="1" ht="12" customHeight="1" thickBot="1">
      <c r="A145" s="499" t="s">
        <v>293</v>
      </c>
      <c r="B145" s="7" t="s">
        <v>397</v>
      </c>
      <c r="C145" s="309">
        <f>'9.1.1. sz. mell ÖNK'!C145+'9.1.2. sz. mell ÖNK'!C145+'9.1.3. sz. mell ÖNK'!C145</f>
        <v>900000</v>
      </c>
    </row>
    <row r="146" spans="1:3" s="118" customFormat="1" ht="12" customHeight="1" thickBot="1">
      <c r="A146" s="37" t="s">
        <v>25</v>
      </c>
      <c r="B146" s="151" t="s">
        <v>472</v>
      </c>
      <c r="C146" s="351">
        <f>+C147+C148+C149+C150+C151</f>
        <v>0</v>
      </c>
    </row>
    <row r="147" spans="1:3" s="118" customFormat="1" ht="12" customHeight="1">
      <c r="A147" s="490" t="s">
        <v>99</v>
      </c>
      <c r="B147" s="9" t="s">
        <v>467</v>
      </c>
      <c r="C147" s="309">
        <f>'9.1.1. sz. mell ÖNK'!C147+'9.1.2. sz. mell ÖNK'!C147+'9.1.3. sz. mell ÖNK'!C147</f>
        <v>0</v>
      </c>
    </row>
    <row r="148" spans="1:3" s="118" customFormat="1" ht="12" customHeight="1">
      <c r="A148" s="490" t="s">
        <v>100</v>
      </c>
      <c r="B148" s="9" t="s">
        <v>474</v>
      </c>
      <c r="C148" s="309">
        <f>'9.1.1. sz. mell ÖNK'!C148+'9.1.2. sz. mell ÖNK'!C148+'9.1.3. sz. mell ÖNK'!C148</f>
        <v>0</v>
      </c>
    </row>
    <row r="149" spans="1:3" s="118" customFormat="1" ht="12" customHeight="1">
      <c r="A149" s="490" t="s">
        <v>303</v>
      </c>
      <c r="B149" s="9" t="s">
        <v>469</v>
      </c>
      <c r="C149" s="309">
        <f>'9.1.1. sz. mell ÖNK'!C149+'9.1.2. sz. mell ÖNK'!C149+'9.1.3. sz. mell ÖNK'!C149</f>
        <v>0</v>
      </c>
    </row>
    <row r="150" spans="1:3" s="118" customFormat="1" ht="12" customHeight="1">
      <c r="A150" s="490" t="s">
        <v>304</v>
      </c>
      <c r="B150" s="9" t="s">
        <v>524</v>
      </c>
      <c r="C150" s="309">
        <f>'9.1.1. sz. mell ÖNK'!C150+'9.1.2. sz. mell ÖNK'!C150+'9.1.3. sz. mell ÖNK'!C150</f>
        <v>0</v>
      </c>
    </row>
    <row r="151" spans="1:3" ht="12.75" customHeight="1" thickBot="1">
      <c r="A151" s="499" t="s">
        <v>473</v>
      </c>
      <c r="B151" s="7" t="s">
        <v>476</v>
      </c>
      <c r="C151" s="311">
        <f>'9.1.1. sz. mell ÖNK'!C151+'9.1.2. sz. mell ÖNK'!C151+'9.1.3. sz. mell ÖNK'!C151</f>
        <v>0</v>
      </c>
    </row>
    <row r="152" spans="1:3" ht="12.75" customHeight="1" thickBot="1">
      <c r="A152" s="553" t="s">
        <v>26</v>
      </c>
      <c r="B152" s="151" t="s">
        <v>477</v>
      </c>
      <c r="C152" s="595">
        <f>'9.1.1. sz. mell ÖNK'!C152+'9.1.2. sz. mell ÖNK'!C152+'9.1.3. sz. mell ÖNK'!C152</f>
        <v>0</v>
      </c>
    </row>
    <row r="153" spans="1:3" ht="12.75" customHeight="1" thickBot="1">
      <c r="A153" s="594" t="s">
        <v>27</v>
      </c>
      <c r="B153" s="589" t="s">
        <v>478</v>
      </c>
      <c r="C153" s="310">
        <f>'9.1.1. sz. mell ÖNK'!C153+'9.1.2. sz. mell ÖNK'!C153+'9.1.3. sz. mell ÖNK'!C153</f>
        <v>0</v>
      </c>
    </row>
    <row r="154" spans="1:3" ht="12" customHeight="1" thickBot="1">
      <c r="A154" s="37" t="s">
        <v>28</v>
      </c>
      <c r="B154" s="151" t="s">
        <v>480</v>
      </c>
      <c r="C154" s="481">
        <f>+C129+C133+C140+C146+C152+C153</f>
        <v>461216736</v>
      </c>
    </row>
    <row r="155" spans="1:3" ht="15" customHeight="1" thickBot="1">
      <c r="A155" s="501" t="s">
        <v>29</v>
      </c>
      <c r="B155" s="433" t="s">
        <v>479</v>
      </c>
      <c r="C155" s="481">
        <f>+C128+C154</f>
        <v>1085299736</v>
      </c>
    </row>
    <row r="156" spans="1:3" ht="13.5" thickBot="1">
      <c r="A156" s="441"/>
      <c r="B156" s="442"/>
      <c r="C156" s="443"/>
    </row>
    <row r="157" spans="1:3" ht="15" customHeight="1" thickBot="1">
      <c r="A157" s="288" t="s">
        <v>525</v>
      </c>
      <c r="B157" s="289"/>
      <c r="C157" s="148">
        <f>'9.1.1. sz. mell ÖNK'!C157+'9.1.2. sz. mell ÖNK'!C157+'9.1.3. sz. mell ÖNK'!C157</f>
        <v>10</v>
      </c>
    </row>
    <row r="158" spans="1:3" ht="14.25" customHeight="1" thickBot="1">
      <c r="A158" s="288" t="s">
        <v>207</v>
      </c>
      <c r="B158" s="289"/>
      <c r="C158" s="148">
        <f>'9.1.1. sz. mell ÖNK'!C158+'9.1.2. sz. mell ÖNK'!C158+'9.1.3. sz. mell ÖNK'!C158</f>
        <v>400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76">
      <selection activeCell="C68" sqref="C68"/>
    </sheetView>
  </sheetViews>
  <sheetFormatPr defaultColWidth="9.00390625" defaultRowHeight="12.75"/>
  <cols>
    <col min="1" max="1" width="19.50390625" style="444" customWidth="1"/>
    <col min="2" max="2" width="72.00390625" style="445" customWidth="1"/>
    <col min="3" max="3" width="25.00390625" style="446" customWidth="1"/>
    <col min="4" max="4" width="12.00390625" style="3" customWidth="1"/>
    <col min="5" max="5" width="20.875" style="3" bestFit="1" customWidth="1"/>
    <col min="6" max="6" width="17.00390625" style="3" bestFit="1" customWidth="1"/>
    <col min="7" max="16384" width="9.375" style="3" customWidth="1"/>
  </cols>
  <sheetData>
    <row r="1" spans="1:3" s="2" customFormat="1" ht="16.5" customHeight="1" thickBot="1">
      <c r="A1" s="265"/>
      <c r="B1" s="267"/>
      <c r="C1" s="290" t="str">
        <f>+CONCATENATE("9.1.1. melléklet a ……/",LEFT(ÖSSZEFÜGGÉSEK!A5,4),". (….) önkormányzati rendelethez")</f>
        <v>9.1.1. melléklet a ……/2016. (….) önkormányzati rendelethez</v>
      </c>
    </row>
    <row r="2" spans="1:3" s="114" customFormat="1" ht="21" customHeight="1">
      <c r="A2" s="461" t="s">
        <v>64</v>
      </c>
      <c r="B2" s="403" t="s">
        <v>575</v>
      </c>
      <c r="C2" s="405" t="s">
        <v>55</v>
      </c>
    </row>
    <row r="3" spans="1:3" s="114" customFormat="1" ht="16.5" thickBot="1">
      <c r="A3" s="268" t="s">
        <v>204</v>
      </c>
      <c r="B3" s="404" t="s">
        <v>436</v>
      </c>
      <c r="C3" s="552" t="s">
        <v>55</v>
      </c>
    </row>
    <row r="4" spans="1:3" s="115" customFormat="1" ht="15.75" customHeight="1" thickBot="1">
      <c r="A4" s="269"/>
      <c r="B4" s="269"/>
      <c r="C4" s="270" t="s">
        <v>583</v>
      </c>
    </row>
    <row r="5" spans="1:3" ht="13.5" thickBot="1">
      <c r="A5" s="462" t="s">
        <v>206</v>
      </c>
      <c r="B5" s="271" t="s">
        <v>572</v>
      </c>
      <c r="C5" s="406" t="s">
        <v>57</v>
      </c>
    </row>
    <row r="6" spans="1:3" s="76" customFormat="1" ht="12.75" customHeight="1" thickBot="1">
      <c r="A6" s="232"/>
      <c r="B6" s="233" t="s">
        <v>499</v>
      </c>
      <c r="C6" s="234" t="s">
        <v>500</v>
      </c>
    </row>
    <row r="7" spans="1:3" s="76" customFormat="1" ht="15.75" customHeight="1" thickBot="1">
      <c r="A7" s="273"/>
      <c r="B7" s="274" t="s">
        <v>58</v>
      </c>
      <c r="C7" s="407"/>
    </row>
    <row r="8" spans="1:3" s="76" customFormat="1" ht="12" customHeight="1" thickBot="1">
      <c r="A8" s="37" t="s">
        <v>19</v>
      </c>
      <c r="B8" s="21" t="s">
        <v>255</v>
      </c>
      <c r="C8" s="342">
        <f>+C9+C10+C11+C12+C13+C14</f>
        <v>840689736</v>
      </c>
    </row>
    <row r="9" spans="1:3" s="116" customFormat="1" ht="12" customHeight="1">
      <c r="A9" s="490" t="s">
        <v>101</v>
      </c>
      <c r="B9" s="471" t="s">
        <v>256</v>
      </c>
      <c r="C9" s="345">
        <v>165437120</v>
      </c>
    </row>
    <row r="10" spans="1:3" s="117" customFormat="1" ht="12" customHeight="1">
      <c r="A10" s="491" t="s">
        <v>102</v>
      </c>
      <c r="B10" s="472" t="s">
        <v>257</v>
      </c>
      <c r="C10" s="344">
        <v>109277466</v>
      </c>
    </row>
    <row r="11" spans="1:3" s="117" customFormat="1" ht="12" customHeight="1">
      <c r="A11" s="491" t="s">
        <v>103</v>
      </c>
      <c r="B11" s="472" t="s">
        <v>558</v>
      </c>
      <c r="C11" s="344">
        <v>176005244</v>
      </c>
    </row>
    <row r="12" spans="1:3" s="117" customFormat="1" ht="12" customHeight="1">
      <c r="A12" s="491" t="s">
        <v>104</v>
      </c>
      <c r="B12" s="472" t="s">
        <v>259</v>
      </c>
      <c r="C12" s="344">
        <v>8016480</v>
      </c>
    </row>
    <row r="13" spans="1:5" s="117" customFormat="1" ht="12" customHeight="1">
      <c r="A13" s="491" t="s">
        <v>152</v>
      </c>
      <c r="B13" s="472" t="s">
        <v>512</v>
      </c>
      <c r="C13" s="344">
        <f>357983874+12760000+5537574</f>
        <v>376281448</v>
      </c>
      <c r="D13" s="602" t="s">
        <v>604</v>
      </c>
      <c r="E13" s="601">
        <v>3740000</v>
      </c>
    </row>
    <row r="14" spans="1:5" s="116" customFormat="1" ht="12" customHeight="1" thickBot="1">
      <c r="A14" s="492" t="s">
        <v>105</v>
      </c>
      <c r="B14" s="473" t="s">
        <v>440</v>
      </c>
      <c r="C14" s="344">
        <v>5671978</v>
      </c>
      <c r="D14" s="602" t="s">
        <v>605</v>
      </c>
      <c r="E14" s="601">
        <v>12760000</v>
      </c>
    </row>
    <row r="15" spans="1:5" s="116" customFormat="1" ht="12" customHeight="1" thickBot="1">
      <c r="A15" s="37" t="s">
        <v>20</v>
      </c>
      <c r="B15" s="337" t="s">
        <v>260</v>
      </c>
      <c r="C15" s="342">
        <f>+C16+C17+C18+C19+C20</f>
        <v>0</v>
      </c>
      <c r="D15" s="602" t="s">
        <v>606</v>
      </c>
      <c r="E15" s="601">
        <v>6245112</v>
      </c>
    </row>
    <row r="16" spans="1:5" s="116" customFormat="1" ht="12" customHeight="1">
      <c r="A16" s="490" t="s">
        <v>107</v>
      </c>
      <c r="B16" s="471" t="s">
        <v>261</v>
      </c>
      <c r="C16" s="345"/>
      <c r="D16" s="602" t="s">
        <v>607</v>
      </c>
      <c r="E16" s="601">
        <v>231287419</v>
      </c>
    </row>
    <row r="17" spans="1:5" s="116" customFormat="1" ht="12" customHeight="1">
      <c r="A17" s="491" t="s">
        <v>108</v>
      </c>
      <c r="B17" s="472" t="s">
        <v>262</v>
      </c>
      <c r="C17" s="344"/>
      <c r="D17" s="602"/>
      <c r="E17" s="601">
        <v>87761242</v>
      </c>
    </row>
    <row r="18" spans="1:5" s="116" customFormat="1" ht="12" customHeight="1">
      <c r="A18" s="491" t="s">
        <v>109</v>
      </c>
      <c r="B18" s="472" t="s">
        <v>429</v>
      </c>
      <c r="C18" s="344"/>
      <c r="D18" s="602"/>
      <c r="E18" s="601">
        <v>28288901</v>
      </c>
    </row>
    <row r="19" spans="1:5" s="116" customFormat="1" ht="12" customHeight="1">
      <c r="A19" s="491" t="s">
        <v>110</v>
      </c>
      <c r="B19" s="472" t="s">
        <v>430</v>
      </c>
      <c r="C19" s="344"/>
      <c r="E19" s="603">
        <f>SUM(E13:E18)</f>
        <v>370082674</v>
      </c>
    </row>
    <row r="20" spans="1:3" s="116" customFormat="1" ht="12" customHeight="1">
      <c r="A20" s="491" t="s">
        <v>111</v>
      </c>
      <c r="B20" s="472" t="s">
        <v>263</v>
      </c>
      <c r="C20" s="344"/>
    </row>
    <row r="21" spans="1:5" s="117" customFormat="1" ht="12" customHeight="1" thickBot="1">
      <c r="A21" s="492" t="s">
        <v>120</v>
      </c>
      <c r="B21" s="473" t="s">
        <v>264</v>
      </c>
      <c r="C21" s="346"/>
      <c r="D21" s="117" t="s">
        <v>608</v>
      </c>
      <c r="E21" s="599">
        <f>C13-E19</f>
        <v>6198774</v>
      </c>
    </row>
    <row r="22" spans="1:3" s="117" customFormat="1" ht="12" customHeight="1" thickBot="1">
      <c r="A22" s="37" t="s">
        <v>21</v>
      </c>
      <c r="B22" s="21" t="s">
        <v>265</v>
      </c>
      <c r="C22" s="342">
        <f>+C23+C24+C25+C26+C27</f>
        <v>0</v>
      </c>
    </row>
    <row r="23" spans="1:3" s="117" customFormat="1" ht="12" customHeight="1">
      <c r="A23" s="490" t="s">
        <v>90</v>
      </c>
      <c r="B23" s="471" t="s">
        <v>266</v>
      </c>
      <c r="C23" s="345"/>
    </row>
    <row r="24" spans="1:3" s="116" customFormat="1" ht="12" customHeight="1">
      <c r="A24" s="491" t="s">
        <v>91</v>
      </c>
      <c r="B24" s="472" t="s">
        <v>267</v>
      </c>
      <c r="C24" s="344"/>
    </row>
    <row r="25" spans="1:3" s="117" customFormat="1" ht="12" customHeight="1">
      <c r="A25" s="491" t="s">
        <v>92</v>
      </c>
      <c r="B25" s="472" t="s">
        <v>431</v>
      </c>
      <c r="C25" s="344"/>
    </row>
    <row r="26" spans="1:3" s="117" customFormat="1" ht="12" customHeight="1">
      <c r="A26" s="491" t="s">
        <v>93</v>
      </c>
      <c r="B26" s="472" t="s">
        <v>432</v>
      </c>
      <c r="C26" s="344"/>
    </row>
    <row r="27" spans="1:3" s="117" customFormat="1" ht="12" customHeight="1">
      <c r="A27" s="491" t="s">
        <v>172</v>
      </c>
      <c r="B27" s="472" t="s">
        <v>268</v>
      </c>
      <c r="C27" s="344"/>
    </row>
    <row r="28" spans="1:3" s="117" customFormat="1" ht="12" customHeight="1" thickBot="1">
      <c r="A28" s="492" t="s">
        <v>173</v>
      </c>
      <c r="B28" s="473" t="s">
        <v>269</v>
      </c>
      <c r="C28" s="346"/>
    </row>
    <row r="29" spans="1:3" s="117" customFormat="1" ht="12" customHeight="1" thickBot="1">
      <c r="A29" s="37" t="s">
        <v>174</v>
      </c>
      <c r="B29" s="21" t="s">
        <v>569</v>
      </c>
      <c r="C29" s="348">
        <f>SUM(C30:C36)</f>
        <v>84040000</v>
      </c>
    </row>
    <row r="30" spans="1:3" s="117" customFormat="1" ht="12" customHeight="1">
      <c r="A30" s="490" t="s">
        <v>271</v>
      </c>
      <c r="B30" s="471" t="s">
        <v>563</v>
      </c>
      <c r="C30" s="345"/>
    </row>
    <row r="31" spans="1:3" s="117" customFormat="1" ht="12" customHeight="1">
      <c r="A31" s="491" t="s">
        <v>272</v>
      </c>
      <c r="B31" s="472" t="s">
        <v>564</v>
      </c>
      <c r="C31" s="344"/>
    </row>
    <row r="32" spans="1:3" s="117" customFormat="1" ht="12" customHeight="1">
      <c r="A32" s="491" t="s">
        <v>273</v>
      </c>
      <c r="B32" s="472" t="s">
        <v>565</v>
      </c>
      <c r="C32" s="344">
        <f>67800000-12500000</f>
        <v>55300000</v>
      </c>
    </row>
    <row r="33" spans="1:3" s="117" customFormat="1" ht="12" customHeight="1">
      <c r="A33" s="491" t="s">
        <v>274</v>
      </c>
      <c r="B33" s="472" t="s">
        <v>566</v>
      </c>
      <c r="C33" s="344">
        <v>40000</v>
      </c>
    </row>
    <row r="34" spans="1:3" s="117" customFormat="1" ht="12" customHeight="1">
      <c r="A34" s="491" t="s">
        <v>560</v>
      </c>
      <c r="B34" s="472" t="s">
        <v>275</v>
      </c>
      <c r="C34" s="344">
        <v>13500000</v>
      </c>
    </row>
    <row r="35" spans="1:5" s="117" customFormat="1" ht="12" customHeight="1">
      <c r="A35" s="491" t="s">
        <v>561</v>
      </c>
      <c r="B35" s="472" t="s">
        <v>276</v>
      </c>
      <c r="C35" s="344"/>
      <c r="D35" s="117" t="s">
        <v>619</v>
      </c>
      <c r="E35" s="600">
        <v>13500000</v>
      </c>
    </row>
    <row r="36" spans="1:5" s="117" customFormat="1" ht="12" customHeight="1" thickBot="1">
      <c r="A36" s="492" t="s">
        <v>562</v>
      </c>
      <c r="B36" s="578" t="s">
        <v>277</v>
      </c>
      <c r="C36" s="346">
        <v>15200000</v>
      </c>
      <c r="D36" s="117" t="s">
        <v>620</v>
      </c>
      <c r="E36" s="600">
        <v>700000</v>
      </c>
    </row>
    <row r="37" spans="1:5" s="117" customFormat="1" ht="12" customHeight="1" thickBot="1">
      <c r="A37" s="37" t="s">
        <v>23</v>
      </c>
      <c r="B37" s="21" t="s">
        <v>441</v>
      </c>
      <c r="C37" s="342">
        <f>SUM(C38:C48)</f>
        <v>32189000</v>
      </c>
      <c r="D37" s="117" t="s">
        <v>621</v>
      </c>
      <c r="E37" s="600">
        <v>1000000</v>
      </c>
    </row>
    <row r="38" spans="1:4" s="117" customFormat="1" ht="12" customHeight="1">
      <c r="A38" s="490" t="s">
        <v>94</v>
      </c>
      <c r="B38" s="471" t="s">
        <v>280</v>
      </c>
      <c r="C38" s="345">
        <v>7087000</v>
      </c>
      <c r="D38" s="117" t="s">
        <v>623</v>
      </c>
    </row>
    <row r="39" spans="1:5" s="117" customFormat="1" ht="12" customHeight="1">
      <c r="A39" s="491" t="s">
        <v>95</v>
      </c>
      <c r="B39" s="472" t="s">
        <v>281</v>
      </c>
      <c r="C39" s="344">
        <v>11300000</v>
      </c>
      <c r="D39" s="117" t="s">
        <v>624</v>
      </c>
      <c r="E39" s="600">
        <v>5200000</v>
      </c>
    </row>
    <row r="40" spans="1:3" s="117" customFormat="1" ht="12" customHeight="1">
      <c r="A40" s="491" t="s">
        <v>96</v>
      </c>
      <c r="B40" s="472" t="s">
        <v>282</v>
      </c>
      <c r="C40" s="344">
        <v>1500000</v>
      </c>
    </row>
    <row r="41" spans="1:4" s="117" customFormat="1" ht="12" customHeight="1">
      <c r="A41" s="491" t="s">
        <v>176</v>
      </c>
      <c r="B41" s="472" t="s">
        <v>283</v>
      </c>
      <c r="C41" s="344">
        <v>3500000</v>
      </c>
      <c r="D41" s="117" t="s">
        <v>622</v>
      </c>
    </row>
    <row r="42" spans="1:3" s="117" customFormat="1" ht="12" customHeight="1">
      <c r="A42" s="491" t="s">
        <v>177</v>
      </c>
      <c r="B42" s="472" t="s">
        <v>284</v>
      </c>
      <c r="C42" s="344"/>
    </row>
    <row r="43" spans="1:3" s="117" customFormat="1" ht="12" customHeight="1">
      <c r="A43" s="491" t="s">
        <v>178</v>
      </c>
      <c r="B43" s="472" t="s">
        <v>285</v>
      </c>
      <c r="C43" s="344">
        <f>5370000+2892000+540000</f>
        <v>8802000</v>
      </c>
    </row>
    <row r="44" spans="1:5" s="117" customFormat="1" ht="12" customHeight="1">
      <c r="A44" s="491" t="s">
        <v>179</v>
      </c>
      <c r="B44" s="472" t="s">
        <v>286</v>
      </c>
      <c r="C44" s="344"/>
      <c r="E44" s="117" t="s">
        <v>625</v>
      </c>
    </row>
    <row r="45" spans="1:6" s="117" customFormat="1" ht="12" customHeight="1">
      <c r="A45" s="491" t="s">
        <v>180</v>
      </c>
      <c r="B45" s="472" t="s">
        <v>568</v>
      </c>
      <c r="C45" s="344"/>
      <c r="E45" s="117" t="s">
        <v>626</v>
      </c>
      <c r="F45" s="600">
        <v>1100000</v>
      </c>
    </row>
    <row r="46" spans="1:6" s="117" customFormat="1" ht="12" customHeight="1">
      <c r="A46" s="491" t="s">
        <v>278</v>
      </c>
      <c r="B46" s="472" t="s">
        <v>288</v>
      </c>
      <c r="C46" s="347"/>
      <c r="E46" s="117" t="s">
        <v>624</v>
      </c>
      <c r="F46" s="600">
        <v>5200000</v>
      </c>
    </row>
    <row r="47" spans="1:6" s="117" customFormat="1" ht="12" customHeight="1">
      <c r="A47" s="492" t="s">
        <v>279</v>
      </c>
      <c r="B47" s="473" t="s">
        <v>443</v>
      </c>
      <c r="C47" s="457"/>
      <c r="E47" s="117" t="s">
        <v>627</v>
      </c>
      <c r="F47" s="600">
        <v>2000000</v>
      </c>
    </row>
    <row r="48" spans="1:6" s="117" customFormat="1" ht="12" customHeight="1" thickBot="1">
      <c r="A48" s="492" t="s">
        <v>442</v>
      </c>
      <c r="B48" s="473" t="s">
        <v>289</v>
      </c>
      <c r="C48" s="457"/>
      <c r="E48" s="117" t="s">
        <v>628</v>
      </c>
      <c r="F48" s="600">
        <v>3000000</v>
      </c>
    </row>
    <row r="49" spans="1:6" s="117" customFormat="1" ht="12" customHeight="1" thickBot="1">
      <c r="A49" s="37" t="s">
        <v>24</v>
      </c>
      <c r="B49" s="21" t="s">
        <v>290</v>
      </c>
      <c r="C49" s="342">
        <f>SUM(C50:C54)</f>
        <v>12712000</v>
      </c>
      <c r="F49" s="600"/>
    </row>
    <row r="50" spans="1:6" s="117" customFormat="1" ht="12" customHeight="1">
      <c r="A50" s="490" t="s">
        <v>97</v>
      </c>
      <c r="B50" s="471" t="s">
        <v>294</v>
      </c>
      <c r="C50" s="516"/>
      <c r="F50" s="600"/>
    </row>
    <row r="51" spans="1:3" s="117" customFormat="1" ht="12" customHeight="1">
      <c r="A51" s="491" t="s">
        <v>98</v>
      </c>
      <c r="B51" s="472" t="s">
        <v>295</v>
      </c>
      <c r="C51" s="347">
        <v>10712000</v>
      </c>
    </row>
    <row r="52" spans="1:3" s="117" customFormat="1" ht="12" customHeight="1">
      <c r="A52" s="491" t="s">
        <v>291</v>
      </c>
      <c r="B52" s="472" t="s">
        <v>296</v>
      </c>
      <c r="C52" s="347">
        <v>2000000</v>
      </c>
    </row>
    <row r="53" spans="1:3" s="117" customFormat="1" ht="12" customHeight="1">
      <c r="A53" s="491" t="s">
        <v>292</v>
      </c>
      <c r="B53" s="472" t="s">
        <v>297</v>
      </c>
      <c r="C53" s="347"/>
    </row>
    <row r="54" spans="1:3" s="117" customFormat="1" ht="12" customHeight="1" thickBot="1">
      <c r="A54" s="492" t="s">
        <v>293</v>
      </c>
      <c r="B54" s="473" t="s">
        <v>298</v>
      </c>
      <c r="C54" s="457"/>
    </row>
    <row r="55" spans="1:3" s="117" customFormat="1" ht="12" customHeight="1" thickBot="1">
      <c r="A55" s="37" t="s">
        <v>181</v>
      </c>
      <c r="B55" s="21" t="s">
        <v>299</v>
      </c>
      <c r="C55" s="342">
        <f>SUM(C56:C58)</f>
        <v>0</v>
      </c>
    </row>
    <row r="56" spans="1:3" s="117" customFormat="1" ht="12" customHeight="1">
      <c r="A56" s="490" t="s">
        <v>99</v>
      </c>
      <c r="B56" s="471" t="s">
        <v>300</v>
      </c>
      <c r="C56" s="345"/>
    </row>
    <row r="57" spans="1:3" s="117" customFormat="1" ht="12" customHeight="1">
      <c r="A57" s="491" t="s">
        <v>100</v>
      </c>
      <c r="B57" s="472" t="s">
        <v>433</v>
      </c>
      <c r="C57" s="344"/>
    </row>
    <row r="58" spans="1:3" s="117" customFormat="1" ht="12" customHeight="1">
      <c r="A58" s="491" t="s">
        <v>303</v>
      </c>
      <c r="B58" s="472" t="s">
        <v>301</v>
      </c>
      <c r="C58" s="344"/>
    </row>
    <row r="59" spans="1:3" s="117" customFormat="1" ht="12" customHeight="1" thickBot="1">
      <c r="A59" s="492" t="s">
        <v>304</v>
      </c>
      <c r="B59" s="473" t="s">
        <v>302</v>
      </c>
      <c r="C59" s="346"/>
    </row>
    <row r="60" spans="1:3" s="117" customFormat="1" ht="12" customHeight="1" thickBot="1">
      <c r="A60" s="37" t="s">
        <v>26</v>
      </c>
      <c r="B60" s="337" t="s">
        <v>305</v>
      </c>
      <c r="C60" s="342">
        <f>SUM(C61:C63)</f>
        <v>17810000</v>
      </c>
    </row>
    <row r="61" spans="1:3" s="117" customFormat="1" ht="12" customHeight="1">
      <c r="A61" s="490" t="s">
        <v>182</v>
      </c>
      <c r="B61" s="471" t="s">
        <v>307</v>
      </c>
      <c r="C61" s="347"/>
    </row>
    <row r="62" spans="1:3" s="117" customFormat="1" ht="12" customHeight="1">
      <c r="A62" s="491" t="s">
        <v>183</v>
      </c>
      <c r="B62" s="472" t="s">
        <v>434</v>
      </c>
      <c r="C62" s="347">
        <v>810000</v>
      </c>
    </row>
    <row r="63" spans="1:3" s="117" customFormat="1" ht="12" customHeight="1">
      <c r="A63" s="491" t="s">
        <v>231</v>
      </c>
      <c r="B63" s="472" t="s">
        <v>308</v>
      </c>
      <c r="C63" s="347">
        <v>17000000</v>
      </c>
    </row>
    <row r="64" spans="1:3" s="117" customFormat="1" ht="12" customHeight="1" thickBot="1">
      <c r="A64" s="492" t="s">
        <v>306</v>
      </c>
      <c r="B64" s="473" t="s">
        <v>309</v>
      </c>
      <c r="C64" s="347"/>
    </row>
    <row r="65" spans="1:3" s="117" customFormat="1" ht="12" customHeight="1" thickBot="1">
      <c r="A65" s="37" t="s">
        <v>27</v>
      </c>
      <c r="B65" s="21" t="s">
        <v>310</v>
      </c>
      <c r="C65" s="348">
        <f>+C8+C15+C22+C29+C37+C49+C55+C60</f>
        <v>987440736</v>
      </c>
    </row>
    <row r="66" spans="1:3" s="117" customFormat="1" ht="12" customHeight="1" thickBot="1">
      <c r="A66" s="493" t="s">
        <v>401</v>
      </c>
      <c r="B66" s="337" t="s">
        <v>312</v>
      </c>
      <c r="C66" s="342">
        <f>SUM(C67:C69)</f>
        <v>45359000</v>
      </c>
    </row>
    <row r="67" spans="1:3" s="117" customFormat="1" ht="12" customHeight="1">
      <c r="A67" s="490" t="s">
        <v>343</v>
      </c>
      <c r="B67" s="471" t="s">
        <v>313</v>
      </c>
      <c r="C67" s="347">
        <f>42406574+6962426-17000000+6997000+670000+3000000+2323000</f>
        <v>45359000</v>
      </c>
    </row>
    <row r="68" spans="1:3" s="117" customFormat="1" ht="12" customHeight="1">
      <c r="A68" s="491" t="s">
        <v>352</v>
      </c>
      <c r="B68" s="472" t="s">
        <v>314</v>
      </c>
      <c r="C68" s="347"/>
    </row>
    <row r="69" spans="1:3" s="117" customFormat="1" ht="12" customHeight="1" thickBot="1">
      <c r="A69" s="492" t="s">
        <v>353</v>
      </c>
      <c r="B69" s="474" t="s">
        <v>315</v>
      </c>
      <c r="C69" s="347"/>
    </row>
    <row r="70" spans="1:3" s="117" customFormat="1" ht="12" customHeight="1" thickBot="1">
      <c r="A70" s="493" t="s">
        <v>316</v>
      </c>
      <c r="B70" s="337" t="s">
        <v>317</v>
      </c>
      <c r="C70" s="342">
        <f>SUM(C71:C74)</f>
        <v>0</v>
      </c>
    </row>
    <row r="71" spans="1:3" s="117" customFormat="1" ht="12" customHeight="1">
      <c r="A71" s="490" t="s">
        <v>153</v>
      </c>
      <c r="B71" s="471" t="s">
        <v>318</v>
      </c>
      <c r="C71" s="347"/>
    </row>
    <row r="72" spans="1:3" s="117" customFormat="1" ht="12" customHeight="1">
      <c r="A72" s="491" t="s">
        <v>154</v>
      </c>
      <c r="B72" s="472" t="s">
        <v>319</v>
      </c>
      <c r="C72" s="347"/>
    </row>
    <row r="73" spans="1:3" s="117" customFormat="1" ht="12" customHeight="1">
      <c r="A73" s="491" t="s">
        <v>344</v>
      </c>
      <c r="B73" s="472" t="s">
        <v>320</v>
      </c>
      <c r="C73" s="347"/>
    </row>
    <row r="74" spans="1:3" s="117" customFormat="1" ht="12" customHeight="1" thickBot="1">
      <c r="A74" s="492" t="s">
        <v>345</v>
      </c>
      <c r="B74" s="473" t="s">
        <v>321</v>
      </c>
      <c r="C74" s="347"/>
    </row>
    <row r="75" spans="1:3" s="117" customFormat="1" ht="12" customHeight="1" thickBot="1">
      <c r="A75" s="493" t="s">
        <v>322</v>
      </c>
      <c r="B75" s="337" t="s">
        <v>323</v>
      </c>
      <c r="C75" s="342">
        <f>SUM(C76:C77)</f>
        <v>40000000</v>
      </c>
    </row>
    <row r="76" spans="1:3" s="117" customFormat="1" ht="12" customHeight="1">
      <c r="A76" s="490" t="s">
        <v>346</v>
      </c>
      <c r="B76" s="471" t="s">
        <v>324</v>
      </c>
      <c r="C76" s="347">
        <v>40000000</v>
      </c>
    </row>
    <row r="77" spans="1:3" s="117" customFormat="1" ht="12" customHeight="1" thickBot="1">
      <c r="A77" s="492" t="s">
        <v>347</v>
      </c>
      <c r="B77" s="473" t="s">
        <v>325</v>
      </c>
      <c r="C77" s="347"/>
    </row>
    <row r="78" spans="1:3" s="116" customFormat="1" ht="12" customHeight="1" thickBot="1">
      <c r="A78" s="493" t="s">
        <v>326</v>
      </c>
      <c r="B78" s="337" t="s">
        <v>327</v>
      </c>
      <c r="C78" s="342">
        <f>SUM(C79:C81)</f>
        <v>0</v>
      </c>
    </row>
    <row r="79" spans="1:3" s="117" customFormat="1" ht="12" customHeight="1">
      <c r="A79" s="490" t="s">
        <v>348</v>
      </c>
      <c r="B79" s="471" t="s">
        <v>328</v>
      </c>
      <c r="C79" s="347"/>
    </row>
    <row r="80" spans="1:3" s="117" customFormat="1" ht="12" customHeight="1">
      <c r="A80" s="491" t="s">
        <v>349</v>
      </c>
      <c r="B80" s="472" t="s">
        <v>329</v>
      </c>
      <c r="C80" s="347"/>
    </row>
    <row r="81" spans="1:3" s="117" customFormat="1" ht="12" customHeight="1" thickBot="1">
      <c r="A81" s="492" t="s">
        <v>350</v>
      </c>
      <c r="B81" s="473" t="s">
        <v>330</v>
      </c>
      <c r="C81" s="347"/>
    </row>
    <row r="82" spans="1:3" s="117" customFormat="1" ht="12" customHeight="1" thickBot="1">
      <c r="A82" s="493" t="s">
        <v>331</v>
      </c>
      <c r="B82" s="337" t="s">
        <v>351</v>
      </c>
      <c r="C82" s="342">
        <f>SUM(C83:C86)</f>
        <v>0</v>
      </c>
    </row>
    <row r="83" spans="1:3" s="117" customFormat="1" ht="12" customHeight="1">
      <c r="A83" s="494" t="s">
        <v>332</v>
      </c>
      <c r="B83" s="471" t="s">
        <v>333</v>
      </c>
      <c r="C83" s="347"/>
    </row>
    <row r="84" spans="1:3" s="117" customFormat="1" ht="12" customHeight="1">
      <c r="A84" s="495" t="s">
        <v>334</v>
      </c>
      <c r="B84" s="472" t="s">
        <v>335</v>
      </c>
      <c r="C84" s="347"/>
    </row>
    <row r="85" spans="1:3" s="117" customFormat="1" ht="12" customHeight="1">
      <c r="A85" s="495" t="s">
        <v>336</v>
      </c>
      <c r="B85" s="472" t="s">
        <v>337</v>
      </c>
      <c r="C85" s="347"/>
    </row>
    <row r="86" spans="1:3" s="116" customFormat="1" ht="12" customHeight="1" thickBot="1">
      <c r="A86" s="496" t="s">
        <v>338</v>
      </c>
      <c r="B86" s="473" t="s">
        <v>339</v>
      </c>
      <c r="C86" s="347"/>
    </row>
    <row r="87" spans="1:3" s="116" customFormat="1" ht="12" customHeight="1" thickBot="1">
      <c r="A87" s="493" t="s">
        <v>340</v>
      </c>
      <c r="B87" s="337" t="s">
        <v>482</v>
      </c>
      <c r="C87" s="517"/>
    </row>
    <row r="88" spans="1:3" s="116" customFormat="1" ht="12" customHeight="1" thickBot="1">
      <c r="A88" s="493" t="s">
        <v>513</v>
      </c>
      <c r="B88" s="337" t="s">
        <v>341</v>
      </c>
      <c r="C88" s="517"/>
    </row>
    <row r="89" spans="1:3" s="116" customFormat="1" ht="12" customHeight="1" thickBot="1">
      <c r="A89" s="493" t="s">
        <v>514</v>
      </c>
      <c r="B89" s="478" t="s">
        <v>485</v>
      </c>
      <c r="C89" s="348">
        <f>+C66+C70+C75+C78+C82+C88+C87</f>
        <v>85359000</v>
      </c>
    </row>
    <row r="90" spans="1:3" s="116" customFormat="1" ht="12" customHeight="1" thickBot="1">
      <c r="A90" s="497" t="s">
        <v>515</v>
      </c>
      <c r="B90" s="479" t="s">
        <v>516</v>
      </c>
      <c r="C90" s="348">
        <f>+C65+C89</f>
        <v>1072799736</v>
      </c>
    </row>
    <row r="91" spans="1:3" s="117" customFormat="1" ht="15" customHeight="1" thickBot="1">
      <c r="A91" s="279"/>
      <c r="B91" s="280"/>
      <c r="C91" s="412"/>
    </row>
    <row r="92" spans="1:3" s="76" customFormat="1" ht="16.5" customHeight="1" thickBot="1">
      <c r="A92" s="283"/>
      <c r="B92" s="284" t="s">
        <v>59</v>
      </c>
      <c r="C92" s="414"/>
    </row>
    <row r="93" spans="1:3" s="118" customFormat="1" ht="12" customHeight="1" thickBot="1">
      <c r="A93" s="463" t="s">
        <v>19</v>
      </c>
      <c r="B93" s="31" t="s">
        <v>520</v>
      </c>
      <c r="C93" s="341">
        <f>+C94+C95+C96+C97+C98+C111</f>
        <v>545705000</v>
      </c>
    </row>
    <row r="94" spans="1:3" ht="12" customHeight="1">
      <c r="A94" s="498" t="s">
        <v>101</v>
      </c>
      <c r="B94" s="10" t="s">
        <v>50</v>
      </c>
      <c r="C94" s="343">
        <f>291556000-2689000</f>
        <v>288867000</v>
      </c>
    </row>
    <row r="95" spans="1:3" ht="12" customHeight="1">
      <c r="A95" s="491" t="s">
        <v>102</v>
      </c>
      <c r="B95" s="8" t="s">
        <v>184</v>
      </c>
      <c r="C95" s="344">
        <f>43993000-726000</f>
        <v>43267000</v>
      </c>
    </row>
    <row r="96" spans="1:3" ht="12" customHeight="1">
      <c r="A96" s="491" t="s">
        <v>103</v>
      </c>
      <c r="B96" s="8" t="s">
        <v>144</v>
      </c>
      <c r="C96" s="346">
        <v>132739000</v>
      </c>
    </row>
    <row r="97" spans="1:3" ht="12" customHeight="1">
      <c r="A97" s="491" t="s">
        <v>104</v>
      </c>
      <c r="B97" s="11" t="s">
        <v>185</v>
      </c>
      <c r="C97" s="346">
        <v>35992000</v>
      </c>
    </row>
    <row r="98" spans="1:3" ht="12" customHeight="1">
      <c r="A98" s="491" t="s">
        <v>115</v>
      </c>
      <c r="B98" s="19" t="s">
        <v>186</v>
      </c>
      <c r="C98" s="346">
        <f>SUM(C99:C110)</f>
        <v>44840000</v>
      </c>
    </row>
    <row r="99" spans="1:3" ht="12" customHeight="1">
      <c r="A99" s="491" t="s">
        <v>105</v>
      </c>
      <c r="B99" s="8" t="s">
        <v>517</v>
      </c>
      <c r="C99" s="346"/>
    </row>
    <row r="100" spans="1:3" ht="12" customHeight="1">
      <c r="A100" s="491" t="s">
        <v>106</v>
      </c>
      <c r="B100" s="170" t="s">
        <v>448</v>
      </c>
      <c r="C100" s="346"/>
    </row>
    <row r="101" spans="1:3" ht="12" customHeight="1">
      <c r="A101" s="491" t="s">
        <v>116</v>
      </c>
      <c r="B101" s="170" t="s">
        <v>447</v>
      </c>
      <c r="C101" s="346"/>
    </row>
    <row r="102" spans="1:5" ht="12" customHeight="1">
      <c r="A102" s="491" t="s">
        <v>117</v>
      </c>
      <c r="B102" s="170" t="s">
        <v>357</v>
      </c>
      <c r="C102" s="346"/>
      <c r="E102" s="604"/>
    </row>
    <row r="103" spans="1:5" ht="12" customHeight="1">
      <c r="A103" s="491" t="s">
        <v>118</v>
      </c>
      <c r="B103" s="171" t="s">
        <v>358</v>
      </c>
      <c r="C103" s="346"/>
      <c r="D103" s="3" t="s">
        <v>629</v>
      </c>
      <c r="E103" s="604">
        <v>6000000</v>
      </c>
    </row>
    <row r="104" spans="1:5" ht="12" customHeight="1">
      <c r="A104" s="491" t="s">
        <v>119</v>
      </c>
      <c r="B104" s="171" t="s">
        <v>359</v>
      </c>
      <c r="C104" s="346"/>
      <c r="D104" s="3" t="s">
        <v>616</v>
      </c>
      <c r="E104" s="604">
        <v>100000</v>
      </c>
    </row>
    <row r="105" spans="1:5" ht="12" customHeight="1">
      <c r="A105" s="491" t="s">
        <v>121</v>
      </c>
      <c r="B105" s="170" t="s">
        <v>360</v>
      </c>
      <c r="C105" s="346">
        <v>40740000</v>
      </c>
      <c r="D105" s="3" t="s">
        <v>609</v>
      </c>
      <c r="E105" s="604">
        <v>1500000</v>
      </c>
    </row>
    <row r="106" spans="1:5" ht="12" customHeight="1">
      <c r="A106" s="491" t="s">
        <v>187</v>
      </c>
      <c r="B106" s="170" t="s">
        <v>361</v>
      </c>
      <c r="C106" s="346"/>
      <c r="D106" s="3" t="s">
        <v>610</v>
      </c>
      <c r="E106" s="604">
        <v>30000000</v>
      </c>
    </row>
    <row r="107" spans="1:5" ht="12" customHeight="1">
      <c r="A107" s="491" t="s">
        <v>355</v>
      </c>
      <c r="B107" s="171" t="s">
        <v>362</v>
      </c>
      <c r="C107" s="346"/>
      <c r="D107" s="3" t="s">
        <v>611</v>
      </c>
      <c r="E107" s="604">
        <v>5000</v>
      </c>
    </row>
    <row r="108" spans="1:5" ht="12" customHeight="1">
      <c r="A108" s="499" t="s">
        <v>356</v>
      </c>
      <c r="B108" s="172" t="s">
        <v>363</v>
      </c>
      <c r="C108" s="346"/>
      <c r="D108" s="3" t="s">
        <v>612</v>
      </c>
      <c r="E108" s="604">
        <v>3135223</v>
      </c>
    </row>
    <row r="109" spans="1:5" ht="12" customHeight="1">
      <c r="A109" s="491" t="s">
        <v>445</v>
      </c>
      <c r="B109" s="172" t="s">
        <v>364</v>
      </c>
      <c r="C109" s="346"/>
      <c r="E109" s="604"/>
    </row>
    <row r="110" spans="1:5" ht="12" customHeight="1">
      <c r="A110" s="491" t="s">
        <v>446</v>
      </c>
      <c r="B110" s="171" t="s">
        <v>365</v>
      </c>
      <c r="C110" s="344">
        <v>4100000</v>
      </c>
      <c r="D110" s="3" t="s">
        <v>613</v>
      </c>
      <c r="E110" s="604">
        <v>2100000</v>
      </c>
    </row>
    <row r="111" spans="1:5" ht="12" customHeight="1">
      <c r="A111" s="491" t="s">
        <v>450</v>
      </c>
      <c r="B111" s="11" t="s">
        <v>51</v>
      </c>
      <c r="C111" s="344"/>
      <c r="D111" s="3" t="s">
        <v>614</v>
      </c>
      <c r="E111" s="604">
        <v>300000</v>
      </c>
    </row>
    <row r="112" spans="1:5" ht="12" customHeight="1">
      <c r="A112" s="492" t="s">
        <v>451</v>
      </c>
      <c r="B112" s="8" t="s">
        <v>518</v>
      </c>
      <c r="C112" s="346"/>
      <c r="D112" s="3" t="s">
        <v>615</v>
      </c>
      <c r="E112" s="604">
        <v>200000</v>
      </c>
    </row>
    <row r="113" spans="1:5" ht="12" customHeight="1" thickBot="1">
      <c r="A113" s="500" t="s">
        <v>452</v>
      </c>
      <c r="B113" s="173" t="s">
        <v>519</v>
      </c>
      <c r="C113" s="350"/>
      <c r="D113" s="3" t="s">
        <v>617</v>
      </c>
      <c r="E113" s="604">
        <v>500000</v>
      </c>
    </row>
    <row r="114" spans="1:5" ht="12" customHeight="1" thickBot="1">
      <c r="A114" s="37" t="s">
        <v>20</v>
      </c>
      <c r="B114" s="30" t="s">
        <v>366</v>
      </c>
      <c r="C114" s="342">
        <f>+C115+C117+C119</f>
        <v>65878000</v>
      </c>
      <c r="D114" s="3" t="s">
        <v>618</v>
      </c>
      <c r="E114" s="604">
        <v>1000000</v>
      </c>
    </row>
    <row r="115" spans="1:5" ht="12" customHeight="1">
      <c r="A115" s="490" t="s">
        <v>107</v>
      </c>
      <c r="B115" s="8" t="s">
        <v>229</v>
      </c>
      <c r="C115" s="345">
        <v>61278000</v>
      </c>
      <c r="E115" s="604"/>
    </row>
    <row r="116" spans="1:5" ht="12" customHeight="1">
      <c r="A116" s="490" t="s">
        <v>108</v>
      </c>
      <c r="B116" s="12" t="s">
        <v>370</v>
      </c>
      <c r="C116" s="345"/>
      <c r="E116" s="604"/>
    </row>
    <row r="117" spans="1:3" ht="12" customHeight="1">
      <c r="A117" s="490" t="s">
        <v>109</v>
      </c>
      <c r="B117" s="12" t="s">
        <v>188</v>
      </c>
      <c r="C117" s="344">
        <v>4600000</v>
      </c>
    </row>
    <row r="118" spans="1:3" ht="12" customHeight="1">
      <c r="A118" s="490" t="s">
        <v>110</v>
      </c>
      <c r="B118" s="12" t="s">
        <v>371</v>
      </c>
      <c r="C118" s="309"/>
    </row>
    <row r="119" spans="1:3" ht="12" customHeight="1">
      <c r="A119" s="490" t="s">
        <v>111</v>
      </c>
      <c r="B119" s="339" t="s">
        <v>232</v>
      </c>
      <c r="C119" s="309">
        <f>SUM(C120:C127)</f>
        <v>0</v>
      </c>
    </row>
    <row r="120" spans="1:3" ht="12" customHeight="1">
      <c r="A120" s="490" t="s">
        <v>120</v>
      </c>
      <c r="B120" s="338" t="s">
        <v>435</v>
      </c>
      <c r="C120" s="309"/>
    </row>
    <row r="121" spans="1:3" ht="12" customHeight="1">
      <c r="A121" s="490" t="s">
        <v>122</v>
      </c>
      <c r="B121" s="467" t="s">
        <v>376</v>
      </c>
      <c r="C121" s="309"/>
    </row>
    <row r="122" spans="1:3" ht="12" customHeight="1">
      <c r="A122" s="490" t="s">
        <v>189</v>
      </c>
      <c r="B122" s="171" t="s">
        <v>359</v>
      </c>
      <c r="C122" s="309"/>
    </row>
    <row r="123" spans="1:3" ht="12" customHeight="1">
      <c r="A123" s="490" t="s">
        <v>190</v>
      </c>
      <c r="B123" s="171" t="s">
        <v>375</v>
      </c>
      <c r="C123" s="309"/>
    </row>
    <row r="124" spans="1:3" ht="12" customHeight="1">
      <c r="A124" s="490" t="s">
        <v>191</v>
      </c>
      <c r="B124" s="171" t="s">
        <v>374</v>
      </c>
      <c r="C124" s="309"/>
    </row>
    <row r="125" spans="1:3" ht="12" customHeight="1">
      <c r="A125" s="490" t="s">
        <v>367</v>
      </c>
      <c r="B125" s="171" t="s">
        <v>362</v>
      </c>
      <c r="C125" s="309"/>
    </row>
    <row r="126" spans="1:3" ht="12" customHeight="1">
      <c r="A126" s="490" t="s">
        <v>368</v>
      </c>
      <c r="B126" s="171" t="s">
        <v>373</v>
      </c>
      <c r="C126" s="309"/>
    </row>
    <row r="127" spans="1:3" ht="12" customHeight="1" thickBot="1">
      <c r="A127" s="499" t="s">
        <v>369</v>
      </c>
      <c r="B127" s="171" t="s">
        <v>372</v>
      </c>
      <c r="C127" s="311"/>
    </row>
    <row r="128" spans="1:3" ht="12" customHeight="1" thickBot="1">
      <c r="A128" s="37" t="s">
        <v>21</v>
      </c>
      <c r="B128" s="151" t="s">
        <v>455</v>
      </c>
      <c r="C128" s="342">
        <f>+C93+C114</f>
        <v>611583000</v>
      </c>
    </row>
    <row r="129" spans="1:3" ht="12" customHeight="1" thickBot="1">
      <c r="A129" s="37" t="s">
        <v>22</v>
      </c>
      <c r="B129" s="151" t="s">
        <v>456</v>
      </c>
      <c r="C129" s="342">
        <f>+C130+C131+C132</f>
        <v>1633000</v>
      </c>
    </row>
    <row r="130" spans="1:3" s="118" customFormat="1" ht="12" customHeight="1">
      <c r="A130" s="490" t="s">
        <v>271</v>
      </c>
      <c r="B130" s="9" t="s">
        <v>523</v>
      </c>
      <c r="C130" s="309">
        <v>1633000</v>
      </c>
    </row>
    <row r="131" spans="1:3" ht="12" customHeight="1">
      <c r="A131" s="490" t="s">
        <v>272</v>
      </c>
      <c r="B131" s="9" t="s">
        <v>464</v>
      </c>
      <c r="C131" s="309"/>
    </row>
    <row r="132" spans="1:3" ht="12" customHeight="1" thickBot="1">
      <c r="A132" s="499" t="s">
        <v>273</v>
      </c>
      <c r="B132" s="7" t="s">
        <v>522</v>
      </c>
      <c r="C132" s="309"/>
    </row>
    <row r="133" spans="1:3" ht="12" customHeight="1" thickBot="1">
      <c r="A133" s="37" t="s">
        <v>23</v>
      </c>
      <c r="B133" s="151" t="s">
        <v>457</v>
      </c>
      <c r="C133" s="342">
        <f>+C134+C135+C136+C137+C138+C139</f>
        <v>0</v>
      </c>
    </row>
    <row r="134" spans="1:3" ht="12" customHeight="1">
      <c r="A134" s="490" t="s">
        <v>94</v>
      </c>
      <c r="B134" s="9" t="s">
        <v>466</v>
      </c>
      <c r="C134" s="309"/>
    </row>
    <row r="135" spans="1:3" ht="12" customHeight="1">
      <c r="A135" s="490" t="s">
        <v>95</v>
      </c>
      <c r="B135" s="9" t="s">
        <v>458</v>
      </c>
      <c r="C135" s="309"/>
    </row>
    <row r="136" spans="1:3" ht="12" customHeight="1">
      <c r="A136" s="490" t="s">
        <v>96</v>
      </c>
      <c r="B136" s="9" t="s">
        <v>459</v>
      </c>
      <c r="C136" s="309"/>
    </row>
    <row r="137" spans="1:3" ht="12" customHeight="1">
      <c r="A137" s="490" t="s">
        <v>176</v>
      </c>
      <c r="B137" s="9" t="s">
        <v>521</v>
      </c>
      <c r="C137" s="309"/>
    </row>
    <row r="138" spans="1:3" ht="12" customHeight="1">
      <c r="A138" s="490" t="s">
        <v>177</v>
      </c>
      <c r="B138" s="9" t="s">
        <v>461</v>
      </c>
      <c r="C138" s="309"/>
    </row>
    <row r="139" spans="1:3" s="118" customFormat="1" ht="12" customHeight="1" thickBot="1">
      <c r="A139" s="499" t="s">
        <v>178</v>
      </c>
      <c r="B139" s="7" t="s">
        <v>462</v>
      </c>
      <c r="C139" s="309"/>
    </row>
    <row r="140" spans="1:11" ht="12" customHeight="1" thickBot="1">
      <c r="A140" s="37" t="s">
        <v>24</v>
      </c>
      <c r="B140" s="151" t="s">
        <v>549</v>
      </c>
      <c r="C140" s="348">
        <f>+C141+C142+C144+C145+C143</f>
        <v>459583736</v>
      </c>
      <c r="K140" s="291"/>
    </row>
    <row r="141" spans="1:3" ht="12.75">
      <c r="A141" s="490" t="s">
        <v>97</v>
      </c>
      <c r="B141" s="9" t="s">
        <v>377</v>
      </c>
      <c r="C141" s="309"/>
    </row>
    <row r="142" spans="1:3" ht="12" customHeight="1">
      <c r="A142" s="490" t="s">
        <v>98</v>
      </c>
      <c r="B142" s="9" t="s">
        <v>378</v>
      </c>
      <c r="C142" s="309"/>
    </row>
    <row r="143" spans="1:3" s="118" customFormat="1" ht="12" customHeight="1">
      <c r="A143" s="490" t="s">
        <v>291</v>
      </c>
      <c r="B143" s="9" t="s">
        <v>548</v>
      </c>
      <c r="C143" s="309">
        <f>'9.2. sz. mell HIV'!C41+'9.3. sz. mell GAM'!C40+'9.4. sz. mell ILMKS'!C40+'9.5. sz. mell OVI'!C40</f>
        <v>458683736</v>
      </c>
    </row>
    <row r="144" spans="1:3" s="118" customFormat="1" ht="12" customHeight="1">
      <c r="A144" s="490" t="s">
        <v>292</v>
      </c>
      <c r="B144" s="9" t="s">
        <v>471</v>
      </c>
      <c r="C144" s="309"/>
    </row>
    <row r="145" spans="1:3" s="118" customFormat="1" ht="12" customHeight="1" thickBot="1">
      <c r="A145" s="499" t="s">
        <v>293</v>
      </c>
      <c r="B145" s="7" t="s">
        <v>397</v>
      </c>
      <c r="C145" s="309">
        <v>900000</v>
      </c>
    </row>
    <row r="146" spans="1:3" s="118" customFormat="1" ht="12" customHeight="1" thickBot="1">
      <c r="A146" s="37" t="s">
        <v>25</v>
      </c>
      <c r="B146" s="151" t="s">
        <v>472</v>
      </c>
      <c r="C146" s="351">
        <f>+C147+C148+C149+C150+C151</f>
        <v>0</v>
      </c>
    </row>
    <row r="147" spans="1:3" s="118" customFormat="1" ht="12" customHeight="1">
      <c r="A147" s="490" t="s">
        <v>99</v>
      </c>
      <c r="B147" s="9" t="s">
        <v>467</v>
      </c>
      <c r="C147" s="309"/>
    </row>
    <row r="148" spans="1:3" s="118" customFormat="1" ht="12" customHeight="1">
      <c r="A148" s="490" t="s">
        <v>100</v>
      </c>
      <c r="B148" s="9" t="s">
        <v>474</v>
      </c>
      <c r="C148" s="309"/>
    </row>
    <row r="149" spans="1:3" s="118" customFormat="1" ht="12" customHeight="1">
      <c r="A149" s="490" t="s">
        <v>303</v>
      </c>
      <c r="B149" s="9" t="s">
        <v>469</v>
      </c>
      <c r="C149" s="309"/>
    </row>
    <row r="150" spans="1:3" ht="12.75" customHeight="1">
      <c r="A150" s="490" t="s">
        <v>304</v>
      </c>
      <c r="B150" s="9" t="s">
        <v>524</v>
      </c>
      <c r="C150" s="309"/>
    </row>
    <row r="151" spans="1:3" ht="12.75" customHeight="1" thickBot="1">
      <c r="A151" s="499" t="s">
        <v>473</v>
      </c>
      <c r="B151" s="7" t="s">
        <v>476</v>
      </c>
      <c r="C151" s="311"/>
    </row>
    <row r="152" spans="1:3" ht="12.75" customHeight="1" thickBot="1">
      <c r="A152" s="553" t="s">
        <v>26</v>
      </c>
      <c r="B152" s="151" t="s">
        <v>477</v>
      </c>
      <c r="C152" s="351"/>
    </row>
    <row r="153" spans="1:3" ht="12" customHeight="1" thickBot="1">
      <c r="A153" s="553" t="s">
        <v>27</v>
      </c>
      <c r="B153" s="151" t="s">
        <v>478</v>
      </c>
      <c r="C153" s="351"/>
    </row>
    <row r="154" spans="1:3" ht="15" customHeight="1" thickBot="1">
      <c r="A154" s="37" t="s">
        <v>28</v>
      </c>
      <c r="B154" s="151" t="s">
        <v>480</v>
      </c>
      <c r="C154" s="481">
        <f>+C129+C133+C140+C146+C152+C153</f>
        <v>461216736</v>
      </c>
    </row>
    <row r="155" spans="1:6" ht="13.5" thickBot="1">
      <c r="A155" s="501" t="s">
        <v>29</v>
      </c>
      <c r="B155" s="433" t="s">
        <v>479</v>
      </c>
      <c r="C155" s="481">
        <f>+C128+C154</f>
        <v>1072799736</v>
      </c>
      <c r="F155" s="48">
        <f>C155-C90</f>
        <v>0</v>
      </c>
    </row>
    <row r="156" spans="1:3" ht="15" customHeight="1" thickBot="1">
      <c r="A156" s="441"/>
      <c r="B156" s="442"/>
      <c r="C156" s="443"/>
    </row>
    <row r="157" spans="1:3" ht="14.25" customHeight="1" thickBot="1">
      <c r="A157" s="288" t="s">
        <v>525</v>
      </c>
      <c r="B157" s="289"/>
      <c r="C157" s="148">
        <v>10</v>
      </c>
    </row>
    <row r="158" spans="1:3" ht="13.5" thickBot="1">
      <c r="A158" s="288" t="s">
        <v>207</v>
      </c>
      <c r="B158" s="289"/>
      <c r="C158" s="148">
        <v>400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103">
      <selection activeCell="C32" sqref="C32"/>
    </sheetView>
  </sheetViews>
  <sheetFormatPr defaultColWidth="9.00390625" defaultRowHeight="12.75"/>
  <cols>
    <col min="1" max="1" width="19.50390625" style="444" customWidth="1"/>
    <col min="2" max="2" width="72.00390625" style="445" customWidth="1"/>
    <col min="3" max="3" width="25.00390625" style="446" customWidth="1"/>
    <col min="4" max="16384" width="9.375" style="3" customWidth="1"/>
  </cols>
  <sheetData>
    <row r="1" spans="1:3" s="2" customFormat="1" ht="16.5" customHeight="1" thickBot="1">
      <c r="A1" s="265"/>
      <c r="B1" s="267"/>
      <c r="C1" s="290" t="str">
        <f>+CONCATENATE("9.1.2. melléklet a ……/",LEFT(ÖSSZEFÜGGÉSEK!A5,4),". (….) önkormányzati rendelethez")</f>
        <v>9.1.2. melléklet a ……/2016. (….) önkormányzati rendelethez</v>
      </c>
    </row>
    <row r="2" spans="1:3" s="114" customFormat="1" ht="21" customHeight="1">
      <c r="A2" s="461" t="s">
        <v>64</v>
      </c>
      <c r="B2" s="403" t="s">
        <v>575</v>
      </c>
      <c r="C2" s="405" t="s">
        <v>55</v>
      </c>
    </row>
    <row r="3" spans="1:3" s="114" customFormat="1" ht="16.5" thickBot="1">
      <c r="A3" s="268" t="s">
        <v>204</v>
      </c>
      <c r="B3" s="404" t="s">
        <v>437</v>
      </c>
      <c r="C3" s="552" t="s">
        <v>61</v>
      </c>
    </row>
    <row r="4" spans="1:3" s="115" customFormat="1" ht="15.75" customHeight="1" thickBot="1">
      <c r="A4" s="269"/>
      <c r="B4" s="269"/>
      <c r="C4" s="270" t="s">
        <v>583</v>
      </c>
    </row>
    <row r="5" spans="1:3" ht="13.5" thickBot="1">
      <c r="A5" s="462" t="s">
        <v>206</v>
      </c>
      <c r="B5" s="271" t="s">
        <v>572</v>
      </c>
      <c r="C5" s="406" t="s">
        <v>57</v>
      </c>
    </row>
    <row r="6" spans="1:3" s="76" customFormat="1" ht="12.75" customHeight="1" thickBot="1">
      <c r="A6" s="232"/>
      <c r="B6" s="233" t="s">
        <v>499</v>
      </c>
      <c r="C6" s="234" t="s">
        <v>500</v>
      </c>
    </row>
    <row r="7" spans="1:3" s="76" customFormat="1" ht="15.75" customHeight="1" thickBot="1">
      <c r="A7" s="273"/>
      <c r="B7" s="274" t="s">
        <v>58</v>
      </c>
      <c r="C7" s="407"/>
    </row>
    <row r="8" spans="1:3" s="76" customFormat="1" ht="12" customHeight="1" thickBot="1">
      <c r="A8" s="37" t="s">
        <v>19</v>
      </c>
      <c r="B8" s="21" t="s">
        <v>255</v>
      </c>
      <c r="C8" s="342">
        <f>+C9+C10+C11+C12+C13+C14</f>
        <v>0</v>
      </c>
    </row>
    <row r="9" spans="1:3" s="116" customFormat="1" ht="12" customHeight="1">
      <c r="A9" s="490" t="s">
        <v>101</v>
      </c>
      <c r="B9" s="471" t="s">
        <v>256</v>
      </c>
      <c r="C9" s="345"/>
    </row>
    <row r="10" spans="1:3" s="117" customFormat="1" ht="12" customHeight="1">
      <c r="A10" s="491" t="s">
        <v>102</v>
      </c>
      <c r="B10" s="472" t="s">
        <v>257</v>
      </c>
      <c r="C10" s="344"/>
    </row>
    <row r="11" spans="1:3" s="117" customFormat="1" ht="12" customHeight="1">
      <c r="A11" s="491" t="s">
        <v>103</v>
      </c>
      <c r="B11" s="472" t="s">
        <v>558</v>
      </c>
      <c r="C11" s="344"/>
    </row>
    <row r="12" spans="1:3" s="117" customFormat="1" ht="12" customHeight="1">
      <c r="A12" s="491" t="s">
        <v>104</v>
      </c>
      <c r="B12" s="472" t="s">
        <v>259</v>
      </c>
      <c r="C12" s="344"/>
    </row>
    <row r="13" spans="1:3" s="117" customFormat="1" ht="12" customHeight="1">
      <c r="A13" s="491" t="s">
        <v>152</v>
      </c>
      <c r="B13" s="472" t="s">
        <v>512</v>
      </c>
      <c r="C13" s="344"/>
    </row>
    <row r="14" spans="1:3" s="116" customFormat="1" ht="12" customHeight="1" thickBot="1">
      <c r="A14" s="492" t="s">
        <v>105</v>
      </c>
      <c r="B14" s="473" t="s">
        <v>440</v>
      </c>
      <c r="C14" s="344"/>
    </row>
    <row r="15" spans="1:3" s="116" customFormat="1" ht="12" customHeight="1" thickBot="1">
      <c r="A15" s="37" t="s">
        <v>20</v>
      </c>
      <c r="B15" s="337" t="s">
        <v>260</v>
      </c>
      <c r="C15" s="342">
        <f>+C16+C17+C18+C19+C20</f>
        <v>0</v>
      </c>
    </row>
    <row r="16" spans="1:3" s="116" customFormat="1" ht="12" customHeight="1">
      <c r="A16" s="490" t="s">
        <v>107</v>
      </c>
      <c r="B16" s="471" t="s">
        <v>261</v>
      </c>
      <c r="C16" s="345"/>
    </row>
    <row r="17" spans="1:3" s="116" customFormat="1" ht="12" customHeight="1">
      <c r="A17" s="491" t="s">
        <v>108</v>
      </c>
      <c r="B17" s="472" t="s">
        <v>262</v>
      </c>
      <c r="C17" s="344"/>
    </row>
    <row r="18" spans="1:3" s="116" customFormat="1" ht="12" customHeight="1">
      <c r="A18" s="491" t="s">
        <v>109</v>
      </c>
      <c r="B18" s="472" t="s">
        <v>429</v>
      </c>
      <c r="C18" s="344"/>
    </row>
    <row r="19" spans="1:3" s="116" customFormat="1" ht="12" customHeight="1">
      <c r="A19" s="491" t="s">
        <v>110</v>
      </c>
      <c r="B19" s="472" t="s">
        <v>430</v>
      </c>
      <c r="C19" s="344"/>
    </row>
    <row r="20" spans="1:3" s="116" customFormat="1" ht="12" customHeight="1">
      <c r="A20" s="491" t="s">
        <v>111</v>
      </c>
      <c r="B20" s="472" t="s">
        <v>263</v>
      </c>
      <c r="C20" s="344"/>
    </row>
    <row r="21" spans="1:3" s="117" customFormat="1" ht="12" customHeight="1" thickBot="1">
      <c r="A21" s="492" t="s">
        <v>120</v>
      </c>
      <c r="B21" s="473" t="s">
        <v>264</v>
      </c>
      <c r="C21" s="346"/>
    </row>
    <row r="22" spans="1:3" s="117" customFormat="1" ht="12" customHeight="1" thickBot="1">
      <c r="A22" s="37" t="s">
        <v>21</v>
      </c>
      <c r="B22" s="21" t="s">
        <v>265</v>
      </c>
      <c r="C22" s="342">
        <f>+C23+C24+C25+C26+C27</f>
        <v>0</v>
      </c>
    </row>
    <row r="23" spans="1:3" s="117" customFormat="1" ht="12" customHeight="1">
      <c r="A23" s="490" t="s">
        <v>90</v>
      </c>
      <c r="B23" s="471" t="s">
        <v>266</v>
      </c>
      <c r="C23" s="345"/>
    </row>
    <row r="24" spans="1:3" s="116" customFormat="1" ht="12" customHeight="1">
      <c r="A24" s="491" t="s">
        <v>91</v>
      </c>
      <c r="B24" s="472" t="s">
        <v>267</v>
      </c>
      <c r="C24" s="344"/>
    </row>
    <row r="25" spans="1:3" s="117" customFormat="1" ht="12" customHeight="1">
      <c r="A25" s="491" t="s">
        <v>92</v>
      </c>
      <c r="B25" s="472" t="s">
        <v>431</v>
      </c>
      <c r="C25" s="344"/>
    </row>
    <row r="26" spans="1:3" s="117" customFormat="1" ht="12" customHeight="1">
      <c r="A26" s="491" t="s">
        <v>93</v>
      </c>
      <c r="B26" s="472" t="s">
        <v>432</v>
      </c>
      <c r="C26" s="344"/>
    </row>
    <row r="27" spans="1:3" s="117" customFormat="1" ht="12" customHeight="1">
      <c r="A27" s="491" t="s">
        <v>172</v>
      </c>
      <c r="B27" s="472" t="s">
        <v>268</v>
      </c>
      <c r="C27" s="344"/>
    </row>
    <row r="28" spans="1:3" s="117" customFormat="1" ht="12" customHeight="1" thickBot="1">
      <c r="A28" s="492" t="s">
        <v>173</v>
      </c>
      <c r="B28" s="473" t="s">
        <v>269</v>
      </c>
      <c r="C28" s="346"/>
    </row>
    <row r="29" spans="1:3" s="117" customFormat="1" ht="12" customHeight="1" thickBot="1">
      <c r="A29" s="37" t="s">
        <v>174</v>
      </c>
      <c r="B29" s="21" t="s">
        <v>270</v>
      </c>
      <c r="C29" s="348">
        <f>SUM(C30:C36)</f>
        <v>12500000</v>
      </c>
    </row>
    <row r="30" spans="1:3" s="117" customFormat="1" ht="12" customHeight="1">
      <c r="A30" s="490" t="s">
        <v>271</v>
      </c>
      <c r="B30" s="471" t="s">
        <v>563</v>
      </c>
      <c r="C30" s="345"/>
    </row>
    <row r="31" spans="1:3" s="117" customFormat="1" ht="12" customHeight="1">
      <c r="A31" s="491" t="s">
        <v>272</v>
      </c>
      <c r="B31" s="472" t="s">
        <v>564</v>
      </c>
      <c r="C31" s="344"/>
    </row>
    <row r="32" spans="1:3" s="117" customFormat="1" ht="12" customHeight="1">
      <c r="A32" s="491" t="s">
        <v>273</v>
      </c>
      <c r="B32" s="472" t="s">
        <v>565</v>
      </c>
      <c r="C32" s="344">
        <v>12500000</v>
      </c>
    </row>
    <row r="33" spans="1:3" s="117" customFormat="1" ht="12" customHeight="1">
      <c r="A33" s="491" t="s">
        <v>274</v>
      </c>
      <c r="B33" s="472" t="s">
        <v>566</v>
      </c>
      <c r="C33" s="344"/>
    </row>
    <row r="34" spans="1:3" s="117" customFormat="1" ht="12" customHeight="1">
      <c r="A34" s="491" t="s">
        <v>560</v>
      </c>
      <c r="B34" s="472" t="s">
        <v>275</v>
      </c>
      <c r="C34" s="344"/>
    </row>
    <row r="35" spans="1:3" s="117" customFormat="1" ht="12" customHeight="1">
      <c r="A35" s="491" t="s">
        <v>561</v>
      </c>
      <c r="B35" s="472" t="s">
        <v>276</v>
      </c>
      <c r="C35" s="344"/>
    </row>
    <row r="36" spans="1:3" s="117" customFormat="1" ht="12" customHeight="1" thickBot="1">
      <c r="A36" s="492" t="s">
        <v>562</v>
      </c>
      <c r="B36" s="473" t="s">
        <v>277</v>
      </c>
      <c r="C36" s="346"/>
    </row>
    <row r="37" spans="1:3" s="117" customFormat="1" ht="12" customHeight="1" thickBot="1">
      <c r="A37" s="37" t="s">
        <v>23</v>
      </c>
      <c r="B37" s="21" t="s">
        <v>441</v>
      </c>
      <c r="C37" s="342">
        <f>SUM(C38:C48)</f>
        <v>0</v>
      </c>
    </row>
    <row r="38" spans="1:3" s="117" customFormat="1" ht="12" customHeight="1">
      <c r="A38" s="490" t="s">
        <v>94</v>
      </c>
      <c r="B38" s="471" t="s">
        <v>280</v>
      </c>
      <c r="C38" s="345"/>
    </row>
    <row r="39" spans="1:3" s="117" customFormat="1" ht="12" customHeight="1">
      <c r="A39" s="491" t="s">
        <v>95</v>
      </c>
      <c r="B39" s="472" t="s">
        <v>281</v>
      </c>
      <c r="C39" s="344"/>
    </row>
    <row r="40" spans="1:3" s="117" customFormat="1" ht="12" customHeight="1">
      <c r="A40" s="491" t="s">
        <v>96</v>
      </c>
      <c r="B40" s="472" t="s">
        <v>282</v>
      </c>
      <c r="C40" s="344"/>
    </row>
    <row r="41" spans="1:3" s="117" customFormat="1" ht="12" customHeight="1">
      <c r="A41" s="491" t="s">
        <v>176</v>
      </c>
      <c r="B41" s="472" t="s">
        <v>283</v>
      </c>
      <c r="C41" s="344"/>
    </row>
    <row r="42" spans="1:3" s="117" customFormat="1" ht="12" customHeight="1">
      <c r="A42" s="491" t="s">
        <v>177</v>
      </c>
      <c r="B42" s="472" t="s">
        <v>284</v>
      </c>
      <c r="C42" s="344"/>
    </row>
    <row r="43" spans="1:3" s="117" customFormat="1" ht="12" customHeight="1">
      <c r="A43" s="491" t="s">
        <v>178</v>
      </c>
      <c r="B43" s="472" t="s">
        <v>285</v>
      </c>
      <c r="C43" s="344"/>
    </row>
    <row r="44" spans="1:3" s="117" customFormat="1" ht="12" customHeight="1">
      <c r="A44" s="491" t="s">
        <v>179</v>
      </c>
      <c r="B44" s="472" t="s">
        <v>286</v>
      </c>
      <c r="C44" s="344"/>
    </row>
    <row r="45" spans="1:3" s="117" customFormat="1" ht="12" customHeight="1">
      <c r="A45" s="491" t="s">
        <v>180</v>
      </c>
      <c r="B45" s="472" t="s">
        <v>570</v>
      </c>
      <c r="C45" s="344"/>
    </row>
    <row r="46" spans="1:3" s="117" customFormat="1" ht="12" customHeight="1">
      <c r="A46" s="491" t="s">
        <v>278</v>
      </c>
      <c r="B46" s="472" t="s">
        <v>288</v>
      </c>
      <c r="C46" s="347"/>
    </row>
    <row r="47" spans="1:3" s="117" customFormat="1" ht="12" customHeight="1">
      <c r="A47" s="492" t="s">
        <v>279</v>
      </c>
      <c r="B47" s="473" t="s">
        <v>443</v>
      </c>
      <c r="C47" s="457"/>
    </row>
    <row r="48" spans="1:3" s="117" customFormat="1" ht="12" customHeight="1" thickBot="1">
      <c r="A48" s="492" t="s">
        <v>442</v>
      </c>
      <c r="B48" s="473" t="s">
        <v>289</v>
      </c>
      <c r="C48" s="457"/>
    </row>
    <row r="49" spans="1:3" s="117" customFormat="1" ht="12" customHeight="1" thickBot="1">
      <c r="A49" s="37" t="s">
        <v>24</v>
      </c>
      <c r="B49" s="21" t="s">
        <v>290</v>
      </c>
      <c r="C49" s="342">
        <f>SUM(C50:C54)</f>
        <v>0</v>
      </c>
    </row>
    <row r="50" spans="1:3" s="117" customFormat="1" ht="12" customHeight="1">
      <c r="A50" s="490" t="s">
        <v>97</v>
      </c>
      <c r="B50" s="471" t="s">
        <v>294</v>
      </c>
      <c r="C50" s="516"/>
    </row>
    <row r="51" spans="1:3" s="117" customFormat="1" ht="12" customHeight="1">
      <c r="A51" s="491" t="s">
        <v>98</v>
      </c>
      <c r="B51" s="472" t="s">
        <v>295</v>
      </c>
      <c r="C51" s="347"/>
    </row>
    <row r="52" spans="1:3" s="117" customFormat="1" ht="12" customHeight="1">
      <c r="A52" s="491" t="s">
        <v>291</v>
      </c>
      <c r="B52" s="472" t="s">
        <v>296</v>
      </c>
      <c r="C52" s="347"/>
    </row>
    <row r="53" spans="1:3" s="117" customFormat="1" ht="12" customHeight="1">
      <c r="A53" s="491" t="s">
        <v>292</v>
      </c>
      <c r="B53" s="472" t="s">
        <v>297</v>
      </c>
      <c r="C53" s="347"/>
    </row>
    <row r="54" spans="1:3" s="117" customFormat="1" ht="12" customHeight="1" thickBot="1">
      <c r="A54" s="492" t="s">
        <v>293</v>
      </c>
      <c r="B54" s="473" t="s">
        <v>298</v>
      </c>
      <c r="C54" s="457"/>
    </row>
    <row r="55" spans="1:3" s="117" customFormat="1" ht="12" customHeight="1" thickBot="1">
      <c r="A55" s="37" t="s">
        <v>181</v>
      </c>
      <c r="B55" s="21" t="s">
        <v>299</v>
      </c>
      <c r="C55" s="342">
        <f>SUM(C56:C58)</f>
        <v>0</v>
      </c>
    </row>
    <row r="56" spans="1:3" s="117" customFormat="1" ht="12" customHeight="1">
      <c r="A56" s="490" t="s">
        <v>99</v>
      </c>
      <c r="B56" s="471" t="s">
        <v>300</v>
      </c>
      <c r="C56" s="345"/>
    </row>
    <row r="57" spans="1:3" s="117" customFormat="1" ht="12" customHeight="1">
      <c r="A57" s="491" t="s">
        <v>100</v>
      </c>
      <c r="B57" s="472" t="s">
        <v>433</v>
      </c>
      <c r="C57" s="344"/>
    </row>
    <row r="58" spans="1:3" s="117" customFormat="1" ht="12" customHeight="1">
      <c r="A58" s="491" t="s">
        <v>303</v>
      </c>
      <c r="B58" s="472" t="s">
        <v>301</v>
      </c>
      <c r="C58" s="344"/>
    </row>
    <row r="59" spans="1:3" s="117" customFormat="1" ht="12" customHeight="1" thickBot="1">
      <c r="A59" s="492" t="s">
        <v>304</v>
      </c>
      <c r="B59" s="473" t="s">
        <v>302</v>
      </c>
      <c r="C59" s="346"/>
    </row>
    <row r="60" spans="1:3" s="117" customFormat="1" ht="12" customHeight="1" thickBot="1">
      <c r="A60" s="37" t="s">
        <v>26</v>
      </c>
      <c r="B60" s="337" t="s">
        <v>305</v>
      </c>
      <c r="C60" s="342">
        <f>SUM(C61:C63)</f>
        <v>0</v>
      </c>
    </row>
    <row r="61" spans="1:3" s="117" customFormat="1" ht="12" customHeight="1">
      <c r="A61" s="490" t="s">
        <v>182</v>
      </c>
      <c r="B61" s="471" t="s">
        <v>307</v>
      </c>
      <c r="C61" s="347"/>
    </row>
    <row r="62" spans="1:3" s="117" customFormat="1" ht="12" customHeight="1">
      <c r="A62" s="491" t="s">
        <v>183</v>
      </c>
      <c r="B62" s="472" t="s">
        <v>434</v>
      </c>
      <c r="C62" s="347"/>
    </row>
    <row r="63" spans="1:3" s="117" customFormat="1" ht="12" customHeight="1">
      <c r="A63" s="491" t="s">
        <v>231</v>
      </c>
      <c r="B63" s="472" t="s">
        <v>308</v>
      </c>
      <c r="C63" s="347"/>
    </row>
    <row r="64" spans="1:3" s="117" customFormat="1" ht="12" customHeight="1" thickBot="1">
      <c r="A64" s="492" t="s">
        <v>306</v>
      </c>
      <c r="B64" s="473" t="s">
        <v>309</v>
      </c>
      <c r="C64" s="347"/>
    </row>
    <row r="65" spans="1:3" s="117" customFormat="1" ht="12" customHeight="1" thickBot="1">
      <c r="A65" s="37" t="s">
        <v>27</v>
      </c>
      <c r="B65" s="21" t="s">
        <v>310</v>
      </c>
      <c r="C65" s="348">
        <f>+C8+C15+C22+C29+C37+C49+C55+C60</f>
        <v>12500000</v>
      </c>
    </row>
    <row r="66" spans="1:3" s="117" customFormat="1" ht="12" customHeight="1" thickBot="1">
      <c r="A66" s="493" t="s">
        <v>401</v>
      </c>
      <c r="B66" s="337" t="s">
        <v>312</v>
      </c>
      <c r="C66" s="342">
        <f>SUM(C67:C69)</f>
        <v>0</v>
      </c>
    </row>
    <row r="67" spans="1:3" s="117" customFormat="1" ht="12" customHeight="1">
      <c r="A67" s="490" t="s">
        <v>343</v>
      </c>
      <c r="B67" s="471" t="s">
        <v>313</v>
      </c>
      <c r="C67" s="347"/>
    </row>
    <row r="68" spans="1:3" s="117" customFormat="1" ht="12" customHeight="1">
      <c r="A68" s="491" t="s">
        <v>352</v>
      </c>
      <c r="B68" s="472" t="s">
        <v>314</v>
      </c>
      <c r="C68" s="347"/>
    </row>
    <row r="69" spans="1:3" s="117" customFormat="1" ht="12" customHeight="1" thickBot="1">
      <c r="A69" s="492" t="s">
        <v>353</v>
      </c>
      <c r="B69" s="474" t="s">
        <v>315</v>
      </c>
      <c r="C69" s="347"/>
    </row>
    <row r="70" spans="1:3" s="117" customFormat="1" ht="12" customHeight="1" thickBot="1">
      <c r="A70" s="493" t="s">
        <v>316</v>
      </c>
      <c r="B70" s="337" t="s">
        <v>317</v>
      </c>
      <c r="C70" s="342">
        <f>SUM(C71:C74)</f>
        <v>0</v>
      </c>
    </row>
    <row r="71" spans="1:3" s="117" customFormat="1" ht="12" customHeight="1">
      <c r="A71" s="490" t="s">
        <v>153</v>
      </c>
      <c r="B71" s="471" t="s">
        <v>318</v>
      </c>
      <c r="C71" s="347"/>
    </row>
    <row r="72" spans="1:3" s="117" customFormat="1" ht="12" customHeight="1">
      <c r="A72" s="491" t="s">
        <v>154</v>
      </c>
      <c r="B72" s="472" t="s">
        <v>319</v>
      </c>
      <c r="C72" s="347"/>
    </row>
    <row r="73" spans="1:3" s="117" customFormat="1" ht="12" customHeight="1">
      <c r="A73" s="491" t="s">
        <v>344</v>
      </c>
      <c r="B73" s="472" t="s">
        <v>320</v>
      </c>
      <c r="C73" s="347"/>
    </row>
    <row r="74" spans="1:3" s="117" customFormat="1" ht="12" customHeight="1" thickBot="1">
      <c r="A74" s="492" t="s">
        <v>345</v>
      </c>
      <c r="B74" s="473" t="s">
        <v>321</v>
      </c>
      <c r="C74" s="347"/>
    </row>
    <row r="75" spans="1:3" s="117" customFormat="1" ht="12" customHeight="1" thickBot="1">
      <c r="A75" s="493" t="s">
        <v>322</v>
      </c>
      <c r="B75" s="337" t="s">
        <v>323</v>
      </c>
      <c r="C75" s="342">
        <f>SUM(C76:C77)</f>
        <v>0</v>
      </c>
    </row>
    <row r="76" spans="1:3" s="117" customFormat="1" ht="12" customHeight="1">
      <c r="A76" s="490" t="s">
        <v>346</v>
      </c>
      <c r="B76" s="471" t="s">
        <v>324</v>
      </c>
      <c r="C76" s="347"/>
    </row>
    <row r="77" spans="1:3" s="117" customFormat="1" ht="12" customHeight="1" thickBot="1">
      <c r="A77" s="492" t="s">
        <v>347</v>
      </c>
      <c r="B77" s="473" t="s">
        <v>325</v>
      </c>
      <c r="C77" s="347"/>
    </row>
    <row r="78" spans="1:3" s="116" customFormat="1" ht="12" customHeight="1" thickBot="1">
      <c r="A78" s="493" t="s">
        <v>326</v>
      </c>
      <c r="B78" s="337" t="s">
        <v>327</v>
      </c>
      <c r="C78" s="342">
        <f>SUM(C79:C81)</f>
        <v>0</v>
      </c>
    </row>
    <row r="79" spans="1:3" s="117" customFormat="1" ht="12" customHeight="1">
      <c r="A79" s="490" t="s">
        <v>348</v>
      </c>
      <c r="B79" s="471" t="s">
        <v>328</v>
      </c>
      <c r="C79" s="347"/>
    </row>
    <row r="80" spans="1:3" s="117" customFormat="1" ht="12" customHeight="1">
      <c r="A80" s="491" t="s">
        <v>349</v>
      </c>
      <c r="B80" s="472" t="s">
        <v>329</v>
      </c>
      <c r="C80" s="347"/>
    </row>
    <row r="81" spans="1:3" s="117" customFormat="1" ht="12" customHeight="1" thickBot="1">
      <c r="A81" s="492" t="s">
        <v>350</v>
      </c>
      <c r="B81" s="473" t="s">
        <v>330</v>
      </c>
      <c r="C81" s="347"/>
    </row>
    <row r="82" spans="1:3" s="117" customFormat="1" ht="12" customHeight="1" thickBot="1">
      <c r="A82" s="493" t="s">
        <v>331</v>
      </c>
      <c r="B82" s="337" t="s">
        <v>351</v>
      </c>
      <c r="C82" s="342">
        <f>SUM(C83:C86)</f>
        <v>0</v>
      </c>
    </row>
    <row r="83" spans="1:3" s="117" customFormat="1" ht="12" customHeight="1">
      <c r="A83" s="494" t="s">
        <v>332</v>
      </c>
      <c r="B83" s="471" t="s">
        <v>333</v>
      </c>
      <c r="C83" s="347"/>
    </row>
    <row r="84" spans="1:3" s="117" customFormat="1" ht="12" customHeight="1">
      <c r="A84" s="495" t="s">
        <v>334</v>
      </c>
      <c r="B84" s="472" t="s">
        <v>335</v>
      </c>
      <c r="C84" s="347"/>
    </row>
    <row r="85" spans="1:3" s="117" customFormat="1" ht="12" customHeight="1">
      <c r="A85" s="495" t="s">
        <v>336</v>
      </c>
      <c r="B85" s="472" t="s">
        <v>337</v>
      </c>
      <c r="C85" s="347"/>
    </row>
    <row r="86" spans="1:3" s="116" customFormat="1" ht="12" customHeight="1" thickBot="1">
      <c r="A86" s="496" t="s">
        <v>338</v>
      </c>
      <c r="B86" s="473" t="s">
        <v>339</v>
      </c>
      <c r="C86" s="347"/>
    </row>
    <row r="87" spans="1:3" s="116" customFormat="1" ht="12" customHeight="1" thickBot="1">
      <c r="A87" s="493" t="s">
        <v>340</v>
      </c>
      <c r="B87" s="337" t="s">
        <v>482</v>
      </c>
      <c r="C87" s="517"/>
    </row>
    <row r="88" spans="1:3" s="116" customFormat="1" ht="12" customHeight="1" thickBot="1">
      <c r="A88" s="493" t="s">
        <v>513</v>
      </c>
      <c r="B88" s="337" t="s">
        <v>341</v>
      </c>
      <c r="C88" s="517"/>
    </row>
    <row r="89" spans="1:3" s="116" customFormat="1" ht="12" customHeight="1" thickBot="1">
      <c r="A89" s="493" t="s">
        <v>514</v>
      </c>
      <c r="B89" s="478" t="s">
        <v>485</v>
      </c>
      <c r="C89" s="348">
        <f>+C66+C70+C75+C78+C82+C88+C87</f>
        <v>0</v>
      </c>
    </row>
    <row r="90" spans="1:3" s="116" customFormat="1" ht="12" customHeight="1" thickBot="1">
      <c r="A90" s="497" t="s">
        <v>515</v>
      </c>
      <c r="B90" s="479" t="s">
        <v>516</v>
      </c>
      <c r="C90" s="348">
        <f>+C65+C89</f>
        <v>12500000</v>
      </c>
    </row>
    <row r="91" spans="1:3" s="117" customFormat="1" ht="15" customHeight="1" thickBot="1">
      <c r="A91" s="279"/>
      <c r="B91" s="280"/>
      <c r="C91" s="412"/>
    </row>
    <row r="92" spans="1:3" s="76" customFormat="1" ht="16.5" customHeight="1" thickBot="1">
      <c r="A92" s="283"/>
      <c r="B92" s="284" t="s">
        <v>59</v>
      </c>
      <c r="C92" s="414"/>
    </row>
    <row r="93" spans="1:3" s="118" customFormat="1" ht="12" customHeight="1" thickBot="1">
      <c r="A93" s="463" t="s">
        <v>19</v>
      </c>
      <c r="B93" s="31" t="s">
        <v>520</v>
      </c>
      <c r="C93" s="341">
        <f>+C94+C95+C96+C97+C98+C111</f>
        <v>12500000</v>
      </c>
    </row>
    <row r="94" spans="1:3" ht="12" customHeight="1">
      <c r="A94" s="498" t="s">
        <v>101</v>
      </c>
      <c r="B94" s="10" t="s">
        <v>50</v>
      </c>
      <c r="C94" s="343"/>
    </row>
    <row r="95" spans="1:3" ht="12" customHeight="1">
      <c r="A95" s="491" t="s">
        <v>102</v>
      </c>
      <c r="B95" s="8" t="s">
        <v>184</v>
      </c>
      <c r="C95" s="344"/>
    </row>
    <row r="96" spans="1:3" ht="12" customHeight="1">
      <c r="A96" s="491" t="s">
        <v>103</v>
      </c>
      <c r="B96" s="8" t="s">
        <v>144</v>
      </c>
      <c r="C96" s="346"/>
    </row>
    <row r="97" spans="1:3" ht="12" customHeight="1">
      <c r="A97" s="491" t="s">
        <v>104</v>
      </c>
      <c r="B97" s="11" t="s">
        <v>185</v>
      </c>
      <c r="C97" s="346"/>
    </row>
    <row r="98" spans="1:3" ht="12" customHeight="1">
      <c r="A98" s="491" t="s">
        <v>115</v>
      </c>
      <c r="B98" s="19" t="s">
        <v>186</v>
      </c>
      <c r="C98" s="346">
        <f>SUM(C99:C110)</f>
        <v>12500000</v>
      </c>
    </row>
    <row r="99" spans="1:3" ht="12" customHeight="1">
      <c r="A99" s="491" t="s">
        <v>105</v>
      </c>
      <c r="B99" s="8" t="s">
        <v>517</v>
      </c>
      <c r="C99" s="346"/>
    </row>
    <row r="100" spans="1:3" ht="12" customHeight="1">
      <c r="A100" s="491" t="s">
        <v>106</v>
      </c>
      <c r="B100" s="170" t="s">
        <v>448</v>
      </c>
      <c r="C100" s="346"/>
    </row>
    <row r="101" spans="1:3" ht="12" customHeight="1">
      <c r="A101" s="491" t="s">
        <v>116</v>
      </c>
      <c r="B101" s="170" t="s">
        <v>447</v>
      </c>
      <c r="C101" s="346"/>
    </row>
    <row r="102" spans="1:3" ht="12" customHeight="1">
      <c r="A102" s="491" t="s">
        <v>117</v>
      </c>
      <c r="B102" s="170" t="s">
        <v>357</v>
      </c>
      <c r="C102" s="346"/>
    </row>
    <row r="103" spans="1:3" ht="12" customHeight="1">
      <c r="A103" s="491" t="s">
        <v>118</v>
      </c>
      <c r="B103" s="171" t="s">
        <v>358</v>
      </c>
      <c r="C103" s="346"/>
    </row>
    <row r="104" spans="1:3" ht="12" customHeight="1">
      <c r="A104" s="491" t="s">
        <v>119</v>
      </c>
      <c r="B104" s="171" t="s">
        <v>359</v>
      </c>
      <c r="C104" s="346"/>
    </row>
    <row r="105" spans="1:3" ht="12" customHeight="1">
      <c r="A105" s="491" t="s">
        <v>121</v>
      </c>
      <c r="B105" s="170" t="s">
        <v>360</v>
      </c>
      <c r="C105" s="346"/>
    </row>
    <row r="106" spans="1:3" ht="12" customHeight="1">
      <c r="A106" s="491" t="s">
        <v>187</v>
      </c>
      <c r="B106" s="170" t="s">
        <v>361</v>
      </c>
      <c r="C106" s="346"/>
    </row>
    <row r="107" spans="1:3" ht="12" customHeight="1">
      <c r="A107" s="491" t="s">
        <v>355</v>
      </c>
      <c r="B107" s="171" t="s">
        <v>362</v>
      </c>
      <c r="C107" s="346"/>
    </row>
    <row r="108" spans="1:3" ht="12" customHeight="1">
      <c r="A108" s="499" t="s">
        <v>356</v>
      </c>
      <c r="B108" s="172" t="s">
        <v>363</v>
      </c>
      <c r="C108" s="346"/>
    </row>
    <row r="109" spans="1:3" ht="12" customHeight="1">
      <c r="A109" s="491" t="s">
        <v>445</v>
      </c>
      <c r="B109" s="172" t="s">
        <v>364</v>
      </c>
      <c r="C109" s="346"/>
    </row>
    <row r="110" spans="1:3" ht="12" customHeight="1">
      <c r="A110" s="491" t="s">
        <v>446</v>
      </c>
      <c r="B110" s="171" t="s">
        <v>365</v>
      </c>
      <c r="C110" s="344">
        <v>12500000</v>
      </c>
    </row>
    <row r="111" spans="1:3" ht="12" customHeight="1">
      <c r="A111" s="491" t="s">
        <v>450</v>
      </c>
      <c r="B111" s="11" t="s">
        <v>51</v>
      </c>
      <c r="C111" s="344"/>
    </row>
    <row r="112" spans="1:3" ht="12" customHeight="1">
      <c r="A112" s="492" t="s">
        <v>451</v>
      </c>
      <c r="B112" s="8" t="s">
        <v>518</v>
      </c>
      <c r="C112" s="346"/>
    </row>
    <row r="113" spans="1:3" ht="12" customHeight="1" thickBot="1">
      <c r="A113" s="500" t="s">
        <v>452</v>
      </c>
      <c r="B113" s="173" t="s">
        <v>519</v>
      </c>
      <c r="C113" s="350"/>
    </row>
    <row r="114" spans="1:3" ht="12" customHeight="1" thickBot="1">
      <c r="A114" s="37" t="s">
        <v>20</v>
      </c>
      <c r="B114" s="30" t="s">
        <v>366</v>
      </c>
      <c r="C114" s="342">
        <f>+C115+C117+C119</f>
        <v>0</v>
      </c>
    </row>
    <row r="115" spans="1:3" ht="12" customHeight="1">
      <c r="A115" s="490" t="s">
        <v>107</v>
      </c>
      <c r="B115" s="8" t="s">
        <v>229</v>
      </c>
      <c r="C115" s="345"/>
    </row>
    <row r="116" spans="1:3" ht="12" customHeight="1">
      <c r="A116" s="490" t="s">
        <v>108</v>
      </c>
      <c r="B116" s="12" t="s">
        <v>370</v>
      </c>
      <c r="C116" s="345"/>
    </row>
    <row r="117" spans="1:3" ht="12" customHeight="1">
      <c r="A117" s="490" t="s">
        <v>109</v>
      </c>
      <c r="B117" s="12" t="s">
        <v>188</v>
      </c>
      <c r="C117" s="344"/>
    </row>
    <row r="118" spans="1:3" ht="12" customHeight="1">
      <c r="A118" s="490" t="s">
        <v>110</v>
      </c>
      <c r="B118" s="12" t="s">
        <v>371</v>
      </c>
      <c r="C118" s="309"/>
    </row>
    <row r="119" spans="1:3" ht="12" customHeight="1">
      <c r="A119" s="490" t="s">
        <v>111</v>
      </c>
      <c r="B119" s="339" t="s">
        <v>232</v>
      </c>
      <c r="C119" s="309"/>
    </row>
    <row r="120" spans="1:3" ht="12" customHeight="1">
      <c r="A120" s="490" t="s">
        <v>120</v>
      </c>
      <c r="B120" s="338" t="s">
        <v>435</v>
      </c>
      <c r="C120" s="309"/>
    </row>
    <row r="121" spans="1:3" ht="12" customHeight="1">
      <c r="A121" s="490" t="s">
        <v>122</v>
      </c>
      <c r="B121" s="467" t="s">
        <v>376</v>
      </c>
      <c r="C121" s="309"/>
    </row>
    <row r="122" spans="1:3" ht="12" customHeight="1">
      <c r="A122" s="490" t="s">
        <v>189</v>
      </c>
      <c r="B122" s="171" t="s">
        <v>359</v>
      </c>
      <c r="C122" s="309"/>
    </row>
    <row r="123" spans="1:3" ht="12" customHeight="1">
      <c r="A123" s="490" t="s">
        <v>190</v>
      </c>
      <c r="B123" s="171" t="s">
        <v>375</v>
      </c>
      <c r="C123" s="309"/>
    </row>
    <row r="124" spans="1:3" ht="12" customHeight="1">
      <c r="A124" s="490" t="s">
        <v>191</v>
      </c>
      <c r="B124" s="171" t="s">
        <v>374</v>
      </c>
      <c r="C124" s="309"/>
    </row>
    <row r="125" spans="1:3" ht="12" customHeight="1">
      <c r="A125" s="490" t="s">
        <v>367</v>
      </c>
      <c r="B125" s="171" t="s">
        <v>362</v>
      </c>
      <c r="C125" s="309"/>
    </row>
    <row r="126" spans="1:3" ht="12" customHeight="1">
      <c r="A126" s="490" t="s">
        <v>368</v>
      </c>
      <c r="B126" s="171" t="s">
        <v>373</v>
      </c>
      <c r="C126" s="309"/>
    </row>
    <row r="127" spans="1:3" ht="12" customHeight="1" thickBot="1">
      <c r="A127" s="499" t="s">
        <v>369</v>
      </c>
      <c r="B127" s="171" t="s">
        <v>372</v>
      </c>
      <c r="C127" s="311"/>
    </row>
    <row r="128" spans="1:3" ht="12" customHeight="1" thickBot="1">
      <c r="A128" s="37" t="s">
        <v>21</v>
      </c>
      <c r="B128" s="151" t="s">
        <v>455</v>
      </c>
      <c r="C128" s="342">
        <f>+C93+C114</f>
        <v>12500000</v>
      </c>
    </row>
    <row r="129" spans="1:3" ht="12" customHeight="1" thickBot="1">
      <c r="A129" s="37" t="s">
        <v>22</v>
      </c>
      <c r="B129" s="151" t="s">
        <v>456</v>
      </c>
      <c r="C129" s="342">
        <f>+C130+C131+C132</f>
        <v>0</v>
      </c>
    </row>
    <row r="130" spans="1:3" s="118" customFormat="1" ht="12" customHeight="1">
      <c r="A130" s="490" t="s">
        <v>271</v>
      </c>
      <c r="B130" s="9" t="s">
        <v>523</v>
      </c>
      <c r="C130" s="309"/>
    </row>
    <row r="131" spans="1:3" ht="12" customHeight="1">
      <c r="A131" s="490" t="s">
        <v>272</v>
      </c>
      <c r="B131" s="9" t="s">
        <v>464</v>
      </c>
      <c r="C131" s="309"/>
    </row>
    <row r="132" spans="1:3" ht="12" customHeight="1" thickBot="1">
      <c r="A132" s="499" t="s">
        <v>273</v>
      </c>
      <c r="B132" s="7" t="s">
        <v>522</v>
      </c>
      <c r="C132" s="309"/>
    </row>
    <row r="133" spans="1:3" ht="12" customHeight="1" thickBot="1">
      <c r="A133" s="37" t="s">
        <v>23</v>
      </c>
      <c r="B133" s="151" t="s">
        <v>457</v>
      </c>
      <c r="C133" s="342">
        <f>+C134+C135+C136+C137+C138+C139</f>
        <v>0</v>
      </c>
    </row>
    <row r="134" spans="1:3" ht="12" customHeight="1">
      <c r="A134" s="490" t="s">
        <v>94</v>
      </c>
      <c r="B134" s="9" t="s">
        <v>466</v>
      </c>
      <c r="C134" s="309"/>
    </row>
    <row r="135" spans="1:3" ht="12" customHeight="1">
      <c r="A135" s="490" t="s">
        <v>95</v>
      </c>
      <c r="B135" s="9" t="s">
        <v>458</v>
      </c>
      <c r="C135" s="309"/>
    </row>
    <row r="136" spans="1:3" ht="12" customHeight="1">
      <c r="A136" s="490" t="s">
        <v>96</v>
      </c>
      <c r="B136" s="9" t="s">
        <v>459</v>
      </c>
      <c r="C136" s="309"/>
    </row>
    <row r="137" spans="1:3" ht="12" customHeight="1">
      <c r="A137" s="490" t="s">
        <v>176</v>
      </c>
      <c r="B137" s="9" t="s">
        <v>521</v>
      </c>
      <c r="C137" s="309"/>
    </row>
    <row r="138" spans="1:3" ht="12" customHeight="1">
      <c r="A138" s="490" t="s">
        <v>177</v>
      </c>
      <c r="B138" s="9" t="s">
        <v>461</v>
      </c>
      <c r="C138" s="309"/>
    </row>
    <row r="139" spans="1:3" s="118" customFormat="1" ht="12" customHeight="1" thickBot="1">
      <c r="A139" s="499" t="s">
        <v>178</v>
      </c>
      <c r="B139" s="7" t="s">
        <v>462</v>
      </c>
      <c r="C139" s="309"/>
    </row>
    <row r="140" spans="1:11" ht="12" customHeight="1" thickBot="1">
      <c r="A140" s="37" t="s">
        <v>24</v>
      </c>
      <c r="B140" s="151" t="s">
        <v>549</v>
      </c>
      <c r="C140" s="348">
        <f>+C141+C142+C144+C145+C143</f>
        <v>0</v>
      </c>
      <c r="K140" s="291"/>
    </row>
    <row r="141" spans="1:3" ht="12.75">
      <c r="A141" s="490" t="s">
        <v>97</v>
      </c>
      <c r="B141" s="9" t="s">
        <v>377</v>
      </c>
      <c r="C141" s="309"/>
    </row>
    <row r="142" spans="1:3" ht="12" customHeight="1">
      <c r="A142" s="490" t="s">
        <v>98</v>
      </c>
      <c r="B142" s="9" t="s">
        <v>378</v>
      </c>
      <c r="C142" s="309"/>
    </row>
    <row r="143" spans="1:3" s="118" customFormat="1" ht="12" customHeight="1">
      <c r="A143" s="490" t="s">
        <v>291</v>
      </c>
      <c r="B143" s="9" t="s">
        <v>548</v>
      </c>
      <c r="C143" s="309"/>
    </row>
    <row r="144" spans="1:3" s="118" customFormat="1" ht="12" customHeight="1">
      <c r="A144" s="490" t="s">
        <v>292</v>
      </c>
      <c r="B144" s="9" t="s">
        <v>471</v>
      </c>
      <c r="C144" s="309"/>
    </row>
    <row r="145" spans="1:3" s="118" customFormat="1" ht="12" customHeight="1" thickBot="1">
      <c r="A145" s="499" t="s">
        <v>293</v>
      </c>
      <c r="B145" s="7" t="s">
        <v>397</v>
      </c>
      <c r="C145" s="309"/>
    </row>
    <row r="146" spans="1:3" s="118" customFormat="1" ht="12" customHeight="1" thickBot="1">
      <c r="A146" s="37" t="s">
        <v>25</v>
      </c>
      <c r="B146" s="151" t="s">
        <v>472</v>
      </c>
      <c r="C146" s="351">
        <f>+C147+C148+C149+C150+C151</f>
        <v>0</v>
      </c>
    </row>
    <row r="147" spans="1:3" s="118" customFormat="1" ht="12" customHeight="1">
      <c r="A147" s="490" t="s">
        <v>99</v>
      </c>
      <c r="B147" s="9" t="s">
        <v>467</v>
      </c>
      <c r="C147" s="309"/>
    </row>
    <row r="148" spans="1:3" s="118" customFormat="1" ht="12" customHeight="1">
      <c r="A148" s="490" t="s">
        <v>100</v>
      </c>
      <c r="B148" s="9" t="s">
        <v>474</v>
      </c>
      <c r="C148" s="309"/>
    </row>
    <row r="149" spans="1:3" s="118" customFormat="1" ht="12" customHeight="1">
      <c r="A149" s="490" t="s">
        <v>303</v>
      </c>
      <c r="B149" s="9" t="s">
        <v>469</v>
      </c>
      <c r="C149" s="309"/>
    </row>
    <row r="150" spans="1:3" ht="12.75" customHeight="1">
      <c r="A150" s="490" t="s">
        <v>304</v>
      </c>
      <c r="B150" s="9" t="s">
        <v>524</v>
      </c>
      <c r="C150" s="309"/>
    </row>
    <row r="151" spans="1:3" ht="12.75" customHeight="1" thickBot="1">
      <c r="A151" s="499" t="s">
        <v>473</v>
      </c>
      <c r="B151" s="7" t="s">
        <v>476</v>
      </c>
      <c r="C151" s="311"/>
    </row>
    <row r="152" spans="1:3" ht="12.75" customHeight="1" thickBot="1">
      <c r="A152" s="553" t="s">
        <v>26</v>
      </c>
      <c r="B152" s="151" t="s">
        <v>477</v>
      </c>
      <c r="C152" s="351"/>
    </row>
    <row r="153" spans="1:3" ht="12" customHeight="1" thickBot="1">
      <c r="A153" s="553" t="s">
        <v>27</v>
      </c>
      <c r="B153" s="151" t="s">
        <v>478</v>
      </c>
      <c r="C153" s="351"/>
    </row>
    <row r="154" spans="1:3" ht="15" customHeight="1" thickBot="1">
      <c r="A154" s="37" t="s">
        <v>28</v>
      </c>
      <c r="B154" s="151" t="s">
        <v>480</v>
      </c>
      <c r="C154" s="481">
        <f>+C129+C133+C140+C146+C152+C153</f>
        <v>0</v>
      </c>
    </row>
    <row r="155" spans="1:3" ht="13.5" thickBot="1">
      <c r="A155" s="501" t="s">
        <v>29</v>
      </c>
      <c r="B155" s="433" t="s">
        <v>479</v>
      </c>
      <c r="C155" s="481">
        <f>+C128+C154</f>
        <v>12500000</v>
      </c>
    </row>
    <row r="156" spans="1:3" ht="15" customHeight="1" thickBot="1">
      <c r="A156" s="441"/>
      <c r="B156" s="442"/>
      <c r="C156" s="443"/>
    </row>
    <row r="157" spans="1:3" ht="14.25" customHeight="1" thickBot="1">
      <c r="A157" s="288" t="s">
        <v>525</v>
      </c>
      <c r="B157" s="289"/>
      <c r="C157" s="148"/>
    </row>
    <row r="158" spans="1:3" ht="13.5" thickBot="1">
      <c r="A158" s="288" t="s">
        <v>207</v>
      </c>
      <c r="B158" s="289"/>
      <c r="C158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112">
      <selection activeCell="C5" sqref="C5"/>
    </sheetView>
  </sheetViews>
  <sheetFormatPr defaultColWidth="9.00390625" defaultRowHeight="12.75"/>
  <cols>
    <col min="1" max="1" width="19.50390625" style="444" customWidth="1"/>
    <col min="2" max="2" width="72.00390625" style="445" customWidth="1"/>
    <col min="3" max="3" width="25.00390625" style="446" customWidth="1"/>
    <col min="4" max="16384" width="9.375" style="3" customWidth="1"/>
  </cols>
  <sheetData>
    <row r="1" spans="1:3" s="2" customFormat="1" ht="16.5" customHeight="1" thickBot="1">
      <c r="A1" s="265"/>
      <c r="B1" s="267"/>
      <c r="C1" s="290" t="str">
        <f>+CONCATENATE("9.1.3. melléklet a ……/",LEFT(ÖSSZEFÜGGÉSEK!A5,4),". (….) önkormányzati rendelethez")</f>
        <v>9.1.3. melléklet a ……/2016. (….) önkormányzati rendelethez</v>
      </c>
    </row>
    <row r="2" spans="1:3" s="114" customFormat="1" ht="21" customHeight="1">
      <c r="A2" s="461" t="s">
        <v>64</v>
      </c>
      <c r="B2" s="403" t="s">
        <v>575</v>
      </c>
      <c r="C2" s="405" t="s">
        <v>55</v>
      </c>
    </row>
    <row r="3" spans="1:3" s="114" customFormat="1" ht="16.5" thickBot="1">
      <c r="A3" s="268" t="s">
        <v>204</v>
      </c>
      <c r="B3" s="404" t="s">
        <v>536</v>
      </c>
      <c r="C3" s="552" t="s">
        <v>62</v>
      </c>
    </row>
    <row r="4" spans="1:3" s="115" customFormat="1" ht="15.75" customHeight="1" thickBot="1">
      <c r="A4" s="269"/>
      <c r="B4" s="269"/>
      <c r="C4" s="270" t="s">
        <v>583</v>
      </c>
    </row>
    <row r="5" spans="1:3" ht="13.5" thickBot="1">
      <c r="A5" s="462" t="s">
        <v>206</v>
      </c>
      <c r="B5" s="271" t="s">
        <v>572</v>
      </c>
      <c r="C5" s="406" t="s">
        <v>57</v>
      </c>
    </row>
    <row r="6" spans="1:3" s="76" customFormat="1" ht="12.75" customHeight="1" thickBot="1">
      <c r="A6" s="232"/>
      <c r="B6" s="233" t="s">
        <v>499</v>
      </c>
      <c r="C6" s="234" t="s">
        <v>500</v>
      </c>
    </row>
    <row r="7" spans="1:3" s="76" customFormat="1" ht="15.75" customHeight="1" thickBot="1">
      <c r="A7" s="273"/>
      <c r="B7" s="274" t="s">
        <v>58</v>
      </c>
      <c r="C7" s="407"/>
    </row>
    <row r="8" spans="1:3" s="76" customFormat="1" ht="12" customHeight="1" thickBot="1">
      <c r="A8" s="37" t="s">
        <v>19</v>
      </c>
      <c r="B8" s="21" t="s">
        <v>255</v>
      </c>
      <c r="C8" s="342">
        <f>+C9+C10+C11+C12+C13+C14</f>
        <v>0</v>
      </c>
    </row>
    <row r="9" spans="1:3" s="116" customFormat="1" ht="12" customHeight="1">
      <c r="A9" s="490" t="s">
        <v>101</v>
      </c>
      <c r="B9" s="471" t="s">
        <v>256</v>
      </c>
      <c r="C9" s="345"/>
    </row>
    <row r="10" spans="1:3" s="117" customFormat="1" ht="12" customHeight="1">
      <c r="A10" s="491" t="s">
        <v>102</v>
      </c>
      <c r="B10" s="472" t="s">
        <v>257</v>
      </c>
      <c r="C10" s="344"/>
    </row>
    <row r="11" spans="1:3" s="117" customFormat="1" ht="12" customHeight="1">
      <c r="A11" s="491" t="s">
        <v>103</v>
      </c>
      <c r="B11" s="472" t="s">
        <v>558</v>
      </c>
      <c r="C11" s="344"/>
    </row>
    <row r="12" spans="1:3" s="117" customFormat="1" ht="12" customHeight="1">
      <c r="A12" s="491" t="s">
        <v>104</v>
      </c>
      <c r="B12" s="472" t="s">
        <v>259</v>
      </c>
      <c r="C12" s="344"/>
    </row>
    <row r="13" spans="1:3" s="117" customFormat="1" ht="12" customHeight="1">
      <c r="A13" s="491" t="s">
        <v>152</v>
      </c>
      <c r="B13" s="472" t="s">
        <v>512</v>
      </c>
      <c r="C13" s="344"/>
    </row>
    <row r="14" spans="1:3" s="116" customFormat="1" ht="12" customHeight="1" thickBot="1">
      <c r="A14" s="492" t="s">
        <v>105</v>
      </c>
      <c r="B14" s="473" t="s">
        <v>440</v>
      </c>
      <c r="C14" s="344"/>
    </row>
    <row r="15" spans="1:3" s="116" customFormat="1" ht="12" customHeight="1" thickBot="1">
      <c r="A15" s="37" t="s">
        <v>20</v>
      </c>
      <c r="B15" s="337" t="s">
        <v>260</v>
      </c>
      <c r="C15" s="342">
        <f>+C16+C17+C18+C19+C20</f>
        <v>0</v>
      </c>
    </row>
    <row r="16" spans="1:3" s="116" customFormat="1" ht="12" customHeight="1">
      <c r="A16" s="490" t="s">
        <v>107</v>
      </c>
      <c r="B16" s="471" t="s">
        <v>261</v>
      </c>
      <c r="C16" s="345"/>
    </row>
    <row r="17" spans="1:3" s="116" customFormat="1" ht="12" customHeight="1">
      <c r="A17" s="491" t="s">
        <v>108</v>
      </c>
      <c r="B17" s="472" t="s">
        <v>262</v>
      </c>
      <c r="C17" s="344"/>
    </row>
    <row r="18" spans="1:3" s="116" customFormat="1" ht="12" customHeight="1">
      <c r="A18" s="491" t="s">
        <v>109</v>
      </c>
      <c r="B18" s="472" t="s">
        <v>429</v>
      </c>
      <c r="C18" s="344"/>
    </row>
    <row r="19" spans="1:3" s="116" customFormat="1" ht="12" customHeight="1">
      <c r="A19" s="491" t="s">
        <v>110</v>
      </c>
      <c r="B19" s="472" t="s">
        <v>430</v>
      </c>
      <c r="C19" s="344"/>
    </row>
    <row r="20" spans="1:3" s="116" customFormat="1" ht="12" customHeight="1">
      <c r="A20" s="491" t="s">
        <v>111</v>
      </c>
      <c r="B20" s="472" t="s">
        <v>263</v>
      </c>
      <c r="C20" s="344"/>
    </row>
    <row r="21" spans="1:3" s="117" customFormat="1" ht="12" customHeight="1" thickBot="1">
      <c r="A21" s="492" t="s">
        <v>120</v>
      </c>
      <c r="B21" s="473" t="s">
        <v>264</v>
      </c>
      <c r="C21" s="346"/>
    </row>
    <row r="22" spans="1:3" s="117" customFormat="1" ht="12" customHeight="1" thickBot="1">
      <c r="A22" s="37" t="s">
        <v>21</v>
      </c>
      <c r="B22" s="21" t="s">
        <v>265</v>
      </c>
      <c r="C22" s="342">
        <f>+C23+C24+C25+C26+C27</f>
        <v>0</v>
      </c>
    </row>
    <row r="23" spans="1:3" s="117" customFormat="1" ht="12" customHeight="1">
      <c r="A23" s="490" t="s">
        <v>90</v>
      </c>
      <c r="B23" s="471" t="s">
        <v>266</v>
      </c>
      <c r="C23" s="345"/>
    </row>
    <row r="24" spans="1:3" s="116" customFormat="1" ht="12" customHeight="1">
      <c r="A24" s="491" t="s">
        <v>91</v>
      </c>
      <c r="B24" s="472" t="s">
        <v>267</v>
      </c>
      <c r="C24" s="344"/>
    </row>
    <row r="25" spans="1:3" s="117" customFormat="1" ht="12" customHeight="1">
      <c r="A25" s="491" t="s">
        <v>92</v>
      </c>
      <c r="B25" s="472" t="s">
        <v>431</v>
      </c>
      <c r="C25" s="344"/>
    </row>
    <row r="26" spans="1:3" s="117" customFormat="1" ht="12" customHeight="1">
      <c r="A26" s="491" t="s">
        <v>93</v>
      </c>
      <c r="B26" s="472" t="s">
        <v>432</v>
      </c>
      <c r="C26" s="344"/>
    </row>
    <row r="27" spans="1:3" s="117" customFormat="1" ht="12" customHeight="1">
      <c r="A27" s="491" t="s">
        <v>172</v>
      </c>
      <c r="B27" s="472" t="s">
        <v>268</v>
      </c>
      <c r="C27" s="344"/>
    </row>
    <row r="28" spans="1:3" s="117" customFormat="1" ht="12" customHeight="1" thickBot="1">
      <c r="A28" s="492" t="s">
        <v>173</v>
      </c>
      <c r="B28" s="473" t="s">
        <v>269</v>
      </c>
      <c r="C28" s="346"/>
    </row>
    <row r="29" spans="1:3" s="117" customFormat="1" ht="12" customHeight="1" thickBot="1">
      <c r="A29" s="37" t="s">
        <v>174</v>
      </c>
      <c r="B29" s="21" t="s">
        <v>270</v>
      </c>
      <c r="C29" s="348">
        <f>SUM(C30:C36)</f>
        <v>0</v>
      </c>
    </row>
    <row r="30" spans="1:3" s="117" customFormat="1" ht="12" customHeight="1">
      <c r="A30" s="490" t="s">
        <v>271</v>
      </c>
      <c r="B30" s="471" t="s">
        <v>563</v>
      </c>
      <c r="C30" s="345"/>
    </row>
    <row r="31" spans="1:3" s="117" customFormat="1" ht="12" customHeight="1">
      <c r="A31" s="491" t="s">
        <v>272</v>
      </c>
      <c r="B31" s="472" t="s">
        <v>564</v>
      </c>
      <c r="C31" s="344"/>
    </row>
    <row r="32" spans="1:3" s="117" customFormat="1" ht="12" customHeight="1">
      <c r="A32" s="491" t="s">
        <v>273</v>
      </c>
      <c r="B32" s="472" t="s">
        <v>565</v>
      </c>
      <c r="C32" s="344"/>
    </row>
    <row r="33" spans="1:3" s="117" customFormat="1" ht="12" customHeight="1">
      <c r="A33" s="491" t="s">
        <v>274</v>
      </c>
      <c r="B33" s="472" t="s">
        <v>566</v>
      </c>
      <c r="C33" s="344"/>
    </row>
    <row r="34" spans="1:3" s="117" customFormat="1" ht="12" customHeight="1">
      <c r="A34" s="491" t="s">
        <v>560</v>
      </c>
      <c r="B34" s="472" t="s">
        <v>275</v>
      </c>
      <c r="C34" s="344"/>
    </row>
    <row r="35" spans="1:3" s="117" customFormat="1" ht="12" customHeight="1">
      <c r="A35" s="491" t="s">
        <v>561</v>
      </c>
      <c r="B35" s="472" t="s">
        <v>276</v>
      </c>
      <c r="C35" s="344"/>
    </row>
    <row r="36" spans="1:3" s="117" customFormat="1" ht="12" customHeight="1" thickBot="1">
      <c r="A36" s="492" t="s">
        <v>562</v>
      </c>
      <c r="B36" s="578" t="s">
        <v>277</v>
      </c>
      <c r="C36" s="346"/>
    </row>
    <row r="37" spans="1:3" s="117" customFormat="1" ht="12" customHeight="1" thickBot="1">
      <c r="A37" s="37" t="s">
        <v>23</v>
      </c>
      <c r="B37" s="21" t="s">
        <v>441</v>
      </c>
      <c r="C37" s="342">
        <f>SUM(C38:C48)</f>
        <v>0</v>
      </c>
    </row>
    <row r="38" spans="1:3" s="117" customFormat="1" ht="12" customHeight="1">
      <c r="A38" s="490" t="s">
        <v>94</v>
      </c>
      <c r="B38" s="471" t="s">
        <v>280</v>
      </c>
      <c r="C38" s="345"/>
    </row>
    <row r="39" spans="1:3" s="117" customFormat="1" ht="12" customHeight="1">
      <c r="A39" s="491" t="s">
        <v>95</v>
      </c>
      <c r="B39" s="472" t="s">
        <v>281</v>
      </c>
      <c r="C39" s="344"/>
    </row>
    <row r="40" spans="1:3" s="117" customFormat="1" ht="12" customHeight="1">
      <c r="A40" s="491" t="s">
        <v>96</v>
      </c>
      <c r="B40" s="472" t="s">
        <v>282</v>
      </c>
      <c r="C40" s="344"/>
    </row>
    <row r="41" spans="1:3" s="117" customFormat="1" ht="12" customHeight="1">
      <c r="A41" s="491" t="s">
        <v>176</v>
      </c>
      <c r="B41" s="472" t="s">
        <v>283</v>
      </c>
      <c r="C41" s="344"/>
    </row>
    <row r="42" spans="1:3" s="117" customFormat="1" ht="12" customHeight="1">
      <c r="A42" s="491" t="s">
        <v>177</v>
      </c>
      <c r="B42" s="472" t="s">
        <v>284</v>
      </c>
      <c r="C42" s="344"/>
    </row>
    <row r="43" spans="1:3" s="117" customFormat="1" ht="12" customHeight="1">
      <c r="A43" s="491" t="s">
        <v>178</v>
      </c>
      <c r="B43" s="472" t="s">
        <v>285</v>
      </c>
      <c r="C43" s="344"/>
    </row>
    <row r="44" spans="1:3" s="117" customFormat="1" ht="12" customHeight="1">
      <c r="A44" s="491" t="s">
        <v>179</v>
      </c>
      <c r="B44" s="472" t="s">
        <v>286</v>
      </c>
      <c r="C44" s="344"/>
    </row>
    <row r="45" spans="1:3" s="117" customFormat="1" ht="12" customHeight="1">
      <c r="A45" s="491" t="s">
        <v>180</v>
      </c>
      <c r="B45" s="472" t="s">
        <v>568</v>
      </c>
      <c r="C45" s="344"/>
    </row>
    <row r="46" spans="1:3" s="117" customFormat="1" ht="12" customHeight="1">
      <c r="A46" s="491" t="s">
        <v>278</v>
      </c>
      <c r="B46" s="472" t="s">
        <v>288</v>
      </c>
      <c r="C46" s="347"/>
    </row>
    <row r="47" spans="1:3" s="117" customFormat="1" ht="12" customHeight="1">
      <c r="A47" s="492" t="s">
        <v>279</v>
      </c>
      <c r="B47" s="473" t="s">
        <v>443</v>
      </c>
      <c r="C47" s="457"/>
    </row>
    <row r="48" spans="1:3" s="117" customFormat="1" ht="12" customHeight="1" thickBot="1">
      <c r="A48" s="492" t="s">
        <v>442</v>
      </c>
      <c r="B48" s="473" t="s">
        <v>289</v>
      </c>
      <c r="C48" s="457"/>
    </row>
    <row r="49" spans="1:3" s="117" customFormat="1" ht="12" customHeight="1" thickBot="1">
      <c r="A49" s="37" t="s">
        <v>24</v>
      </c>
      <c r="B49" s="21" t="s">
        <v>290</v>
      </c>
      <c r="C49" s="342">
        <f>SUM(C50:C54)</f>
        <v>0</v>
      </c>
    </row>
    <row r="50" spans="1:3" s="117" customFormat="1" ht="12" customHeight="1">
      <c r="A50" s="490" t="s">
        <v>97</v>
      </c>
      <c r="B50" s="471" t="s">
        <v>294</v>
      </c>
      <c r="C50" s="516"/>
    </row>
    <row r="51" spans="1:3" s="117" customFormat="1" ht="12" customHeight="1">
      <c r="A51" s="491" t="s">
        <v>98</v>
      </c>
      <c r="B51" s="472" t="s">
        <v>295</v>
      </c>
      <c r="C51" s="347"/>
    </row>
    <row r="52" spans="1:3" s="117" customFormat="1" ht="12" customHeight="1">
      <c r="A52" s="491" t="s">
        <v>291</v>
      </c>
      <c r="B52" s="472" t="s">
        <v>296</v>
      </c>
      <c r="C52" s="347"/>
    </row>
    <row r="53" spans="1:3" s="117" customFormat="1" ht="12" customHeight="1">
      <c r="A53" s="491" t="s">
        <v>292</v>
      </c>
      <c r="B53" s="472" t="s">
        <v>297</v>
      </c>
      <c r="C53" s="347"/>
    </row>
    <row r="54" spans="1:3" s="117" customFormat="1" ht="12" customHeight="1" thickBot="1">
      <c r="A54" s="492" t="s">
        <v>293</v>
      </c>
      <c r="B54" s="578" t="s">
        <v>298</v>
      </c>
      <c r="C54" s="457"/>
    </row>
    <row r="55" spans="1:3" s="117" customFormat="1" ht="12" customHeight="1" thickBot="1">
      <c r="A55" s="37" t="s">
        <v>181</v>
      </c>
      <c r="B55" s="21" t="s">
        <v>299</v>
      </c>
      <c r="C55" s="342">
        <f>SUM(C56:C58)</f>
        <v>0</v>
      </c>
    </row>
    <row r="56" spans="1:3" s="117" customFormat="1" ht="12" customHeight="1">
      <c r="A56" s="490" t="s">
        <v>99</v>
      </c>
      <c r="B56" s="471" t="s">
        <v>300</v>
      </c>
      <c r="C56" s="345"/>
    </row>
    <row r="57" spans="1:3" s="117" customFormat="1" ht="12" customHeight="1">
      <c r="A57" s="491" t="s">
        <v>100</v>
      </c>
      <c r="B57" s="472" t="s">
        <v>433</v>
      </c>
      <c r="C57" s="344"/>
    </row>
    <row r="58" spans="1:3" s="117" customFormat="1" ht="12" customHeight="1">
      <c r="A58" s="491" t="s">
        <v>303</v>
      </c>
      <c r="B58" s="472" t="s">
        <v>301</v>
      </c>
      <c r="C58" s="344"/>
    </row>
    <row r="59" spans="1:3" s="117" customFormat="1" ht="12" customHeight="1" thickBot="1">
      <c r="A59" s="492" t="s">
        <v>304</v>
      </c>
      <c r="B59" s="578" t="s">
        <v>302</v>
      </c>
      <c r="C59" s="346"/>
    </row>
    <row r="60" spans="1:3" s="117" customFormat="1" ht="12" customHeight="1" thickBot="1">
      <c r="A60" s="37" t="s">
        <v>26</v>
      </c>
      <c r="B60" s="337" t="s">
        <v>305</v>
      </c>
      <c r="C60" s="342">
        <f>SUM(C61:C63)</f>
        <v>0</v>
      </c>
    </row>
    <row r="61" spans="1:3" s="117" customFormat="1" ht="12" customHeight="1">
      <c r="A61" s="490" t="s">
        <v>182</v>
      </c>
      <c r="B61" s="471" t="s">
        <v>307</v>
      </c>
      <c r="C61" s="347"/>
    </row>
    <row r="62" spans="1:3" s="117" customFormat="1" ht="12" customHeight="1">
      <c r="A62" s="491" t="s">
        <v>183</v>
      </c>
      <c r="B62" s="472" t="s">
        <v>434</v>
      </c>
      <c r="C62" s="347"/>
    </row>
    <row r="63" spans="1:3" s="117" customFormat="1" ht="12" customHeight="1">
      <c r="A63" s="491" t="s">
        <v>231</v>
      </c>
      <c r="B63" s="472" t="s">
        <v>308</v>
      </c>
      <c r="C63" s="347"/>
    </row>
    <row r="64" spans="1:3" s="117" customFormat="1" ht="12" customHeight="1" thickBot="1">
      <c r="A64" s="492" t="s">
        <v>306</v>
      </c>
      <c r="B64" s="578" t="s">
        <v>309</v>
      </c>
      <c r="C64" s="347"/>
    </row>
    <row r="65" spans="1:3" s="117" customFormat="1" ht="12" customHeight="1" thickBot="1">
      <c r="A65" s="37" t="s">
        <v>27</v>
      </c>
      <c r="B65" s="21" t="s">
        <v>310</v>
      </c>
      <c r="C65" s="348">
        <f>+C8+C15+C22+C29+C37+C49+C55+C60</f>
        <v>0</v>
      </c>
    </row>
    <row r="66" spans="1:3" s="117" customFormat="1" ht="12" customHeight="1" thickBot="1">
      <c r="A66" s="493" t="s">
        <v>401</v>
      </c>
      <c r="B66" s="337" t="s">
        <v>312</v>
      </c>
      <c r="C66" s="342">
        <f>SUM(C67:C69)</f>
        <v>0</v>
      </c>
    </row>
    <row r="67" spans="1:3" s="117" customFormat="1" ht="12" customHeight="1">
      <c r="A67" s="490" t="s">
        <v>343</v>
      </c>
      <c r="B67" s="471" t="s">
        <v>313</v>
      </c>
      <c r="C67" s="347"/>
    </row>
    <row r="68" spans="1:3" s="117" customFormat="1" ht="12" customHeight="1">
      <c r="A68" s="491" t="s">
        <v>352</v>
      </c>
      <c r="B68" s="472" t="s">
        <v>314</v>
      </c>
      <c r="C68" s="347"/>
    </row>
    <row r="69" spans="1:3" s="117" customFormat="1" ht="12" customHeight="1" thickBot="1">
      <c r="A69" s="492" t="s">
        <v>353</v>
      </c>
      <c r="B69" s="582" t="s">
        <v>315</v>
      </c>
      <c r="C69" s="347"/>
    </row>
    <row r="70" spans="1:3" s="117" customFormat="1" ht="12" customHeight="1" thickBot="1">
      <c r="A70" s="493" t="s">
        <v>316</v>
      </c>
      <c r="B70" s="337" t="s">
        <v>317</v>
      </c>
      <c r="C70" s="342">
        <f>SUM(C71:C74)</f>
        <v>0</v>
      </c>
    </row>
    <row r="71" spans="1:3" s="117" customFormat="1" ht="12" customHeight="1">
      <c r="A71" s="490" t="s">
        <v>153</v>
      </c>
      <c r="B71" s="471" t="s">
        <v>318</v>
      </c>
      <c r="C71" s="347"/>
    </row>
    <row r="72" spans="1:3" s="117" customFormat="1" ht="12" customHeight="1">
      <c r="A72" s="491" t="s">
        <v>154</v>
      </c>
      <c r="B72" s="472" t="s">
        <v>319</v>
      </c>
      <c r="C72" s="347"/>
    </row>
    <row r="73" spans="1:3" s="117" customFormat="1" ht="12" customHeight="1">
      <c r="A73" s="491" t="s">
        <v>344</v>
      </c>
      <c r="B73" s="472" t="s">
        <v>320</v>
      </c>
      <c r="C73" s="347"/>
    </row>
    <row r="74" spans="1:3" s="117" customFormat="1" ht="12" customHeight="1" thickBot="1">
      <c r="A74" s="492" t="s">
        <v>345</v>
      </c>
      <c r="B74" s="473" t="s">
        <v>321</v>
      </c>
      <c r="C74" s="347"/>
    </row>
    <row r="75" spans="1:3" s="117" customFormat="1" ht="12" customHeight="1" thickBot="1">
      <c r="A75" s="493" t="s">
        <v>322</v>
      </c>
      <c r="B75" s="337" t="s">
        <v>323</v>
      </c>
      <c r="C75" s="342">
        <f>SUM(C76:C77)</f>
        <v>0</v>
      </c>
    </row>
    <row r="76" spans="1:3" s="117" customFormat="1" ht="12" customHeight="1">
      <c r="A76" s="490" t="s">
        <v>346</v>
      </c>
      <c r="B76" s="471" t="s">
        <v>324</v>
      </c>
      <c r="C76" s="347"/>
    </row>
    <row r="77" spans="1:3" s="117" customFormat="1" ht="12" customHeight="1" thickBot="1">
      <c r="A77" s="492" t="s">
        <v>347</v>
      </c>
      <c r="B77" s="473" t="s">
        <v>325</v>
      </c>
      <c r="C77" s="347"/>
    </row>
    <row r="78" spans="1:3" s="116" customFormat="1" ht="12" customHeight="1" thickBot="1">
      <c r="A78" s="493" t="s">
        <v>326</v>
      </c>
      <c r="B78" s="337" t="s">
        <v>327</v>
      </c>
      <c r="C78" s="342">
        <f>SUM(C79:C81)</f>
        <v>0</v>
      </c>
    </row>
    <row r="79" spans="1:3" s="117" customFormat="1" ht="12" customHeight="1">
      <c r="A79" s="490" t="s">
        <v>348</v>
      </c>
      <c r="B79" s="471" t="s">
        <v>328</v>
      </c>
      <c r="C79" s="347"/>
    </row>
    <row r="80" spans="1:3" s="117" customFormat="1" ht="12" customHeight="1">
      <c r="A80" s="491" t="s">
        <v>349</v>
      </c>
      <c r="B80" s="472" t="s">
        <v>329</v>
      </c>
      <c r="C80" s="347"/>
    </row>
    <row r="81" spans="1:3" s="117" customFormat="1" ht="12" customHeight="1" thickBot="1">
      <c r="A81" s="492" t="s">
        <v>350</v>
      </c>
      <c r="B81" s="473" t="s">
        <v>330</v>
      </c>
      <c r="C81" s="347"/>
    </row>
    <row r="82" spans="1:3" s="117" customFormat="1" ht="12" customHeight="1" thickBot="1">
      <c r="A82" s="493" t="s">
        <v>331</v>
      </c>
      <c r="B82" s="337" t="s">
        <v>351</v>
      </c>
      <c r="C82" s="342">
        <f>SUM(C83:C86)</f>
        <v>0</v>
      </c>
    </row>
    <row r="83" spans="1:3" s="117" customFormat="1" ht="12" customHeight="1">
      <c r="A83" s="494" t="s">
        <v>332</v>
      </c>
      <c r="B83" s="471" t="s">
        <v>333</v>
      </c>
      <c r="C83" s="347"/>
    </row>
    <row r="84" spans="1:3" s="117" customFormat="1" ht="12" customHeight="1">
      <c r="A84" s="495" t="s">
        <v>334</v>
      </c>
      <c r="B84" s="472" t="s">
        <v>335</v>
      </c>
      <c r="C84" s="347"/>
    </row>
    <row r="85" spans="1:3" s="117" customFormat="1" ht="12" customHeight="1">
      <c r="A85" s="495" t="s">
        <v>336</v>
      </c>
      <c r="B85" s="472" t="s">
        <v>337</v>
      </c>
      <c r="C85" s="347"/>
    </row>
    <row r="86" spans="1:3" s="116" customFormat="1" ht="12" customHeight="1" thickBot="1">
      <c r="A86" s="496" t="s">
        <v>338</v>
      </c>
      <c r="B86" s="473" t="s">
        <v>339</v>
      </c>
      <c r="C86" s="347"/>
    </row>
    <row r="87" spans="1:3" s="116" customFormat="1" ht="12" customHeight="1" thickBot="1">
      <c r="A87" s="493" t="s">
        <v>340</v>
      </c>
      <c r="B87" s="337" t="s">
        <v>482</v>
      </c>
      <c r="C87" s="517"/>
    </row>
    <row r="88" spans="1:3" s="116" customFormat="1" ht="12" customHeight="1" thickBot="1">
      <c r="A88" s="493" t="s">
        <v>513</v>
      </c>
      <c r="B88" s="337" t="s">
        <v>341</v>
      </c>
      <c r="C88" s="517"/>
    </row>
    <row r="89" spans="1:3" s="116" customFormat="1" ht="12" customHeight="1" thickBot="1">
      <c r="A89" s="493" t="s">
        <v>514</v>
      </c>
      <c r="B89" s="478" t="s">
        <v>485</v>
      </c>
      <c r="C89" s="348">
        <f>+C66+C70+C75+C78+C82+C88+C87</f>
        <v>0</v>
      </c>
    </row>
    <row r="90" spans="1:3" s="116" customFormat="1" ht="12" customHeight="1" thickBot="1">
      <c r="A90" s="497" t="s">
        <v>515</v>
      </c>
      <c r="B90" s="479" t="s">
        <v>516</v>
      </c>
      <c r="C90" s="348">
        <f>+C65+C89</f>
        <v>0</v>
      </c>
    </row>
    <row r="91" spans="1:3" s="117" customFormat="1" ht="15" customHeight="1" thickBot="1">
      <c r="A91" s="279"/>
      <c r="B91" s="280"/>
      <c r="C91" s="412"/>
    </row>
    <row r="92" spans="1:3" s="76" customFormat="1" ht="16.5" customHeight="1" thickBot="1">
      <c r="A92" s="283"/>
      <c r="B92" s="284" t="s">
        <v>59</v>
      </c>
      <c r="C92" s="414"/>
    </row>
    <row r="93" spans="1:3" s="118" customFormat="1" ht="12" customHeight="1" thickBot="1">
      <c r="A93" s="463" t="s">
        <v>19</v>
      </c>
      <c r="B93" s="31" t="s">
        <v>520</v>
      </c>
      <c r="C93" s="341">
        <f>+C94+C95+C96+C97+C98+C111</f>
        <v>0</v>
      </c>
    </row>
    <row r="94" spans="1:3" ht="12" customHeight="1">
      <c r="A94" s="498" t="s">
        <v>101</v>
      </c>
      <c r="B94" s="10" t="s">
        <v>50</v>
      </c>
      <c r="C94" s="343"/>
    </row>
    <row r="95" spans="1:3" ht="12" customHeight="1">
      <c r="A95" s="491" t="s">
        <v>102</v>
      </c>
      <c r="B95" s="8" t="s">
        <v>184</v>
      </c>
      <c r="C95" s="344"/>
    </row>
    <row r="96" spans="1:3" ht="12" customHeight="1">
      <c r="A96" s="491" t="s">
        <v>103</v>
      </c>
      <c r="B96" s="8" t="s">
        <v>144</v>
      </c>
      <c r="C96" s="346"/>
    </row>
    <row r="97" spans="1:3" ht="12" customHeight="1">
      <c r="A97" s="491" t="s">
        <v>104</v>
      </c>
      <c r="B97" s="11" t="s">
        <v>185</v>
      </c>
      <c r="C97" s="346"/>
    </row>
    <row r="98" spans="1:3" ht="12" customHeight="1">
      <c r="A98" s="491" t="s">
        <v>115</v>
      </c>
      <c r="B98" s="19" t="s">
        <v>186</v>
      </c>
      <c r="C98" s="346"/>
    </row>
    <row r="99" spans="1:3" ht="12" customHeight="1">
      <c r="A99" s="491" t="s">
        <v>105</v>
      </c>
      <c r="B99" s="8" t="s">
        <v>517</v>
      </c>
      <c r="C99" s="346"/>
    </row>
    <row r="100" spans="1:3" ht="12" customHeight="1">
      <c r="A100" s="491" t="s">
        <v>106</v>
      </c>
      <c r="B100" s="170" t="s">
        <v>448</v>
      </c>
      <c r="C100" s="346"/>
    </row>
    <row r="101" spans="1:3" ht="12" customHeight="1">
      <c r="A101" s="491" t="s">
        <v>116</v>
      </c>
      <c r="B101" s="170" t="s">
        <v>447</v>
      </c>
      <c r="C101" s="346"/>
    </row>
    <row r="102" spans="1:3" ht="12" customHeight="1">
      <c r="A102" s="491" t="s">
        <v>117</v>
      </c>
      <c r="B102" s="170" t="s">
        <v>357</v>
      </c>
      <c r="C102" s="346"/>
    </row>
    <row r="103" spans="1:3" ht="12" customHeight="1">
      <c r="A103" s="491" t="s">
        <v>118</v>
      </c>
      <c r="B103" s="171" t="s">
        <v>358</v>
      </c>
      <c r="C103" s="346"/>
    </row>
    <row r="104" spans="1:3" ht="12" customHeight="1">
      <c r="A104" s="491" t="s">
        <v>119</v>
      </c>
      <c r="B104" s="171" t="s">
        <v>359</v>
      </c>
      <c r="C104" s="346"/>
    </row>
    <row r="105" spans="1:3" ht="12" customHeight="1">
      <c r="A105" s="491" t="s">
        <v>121</v>
      </c>
      <c r="B105" s="170" t="s">
        <v>360</v>
      </c>
      <c r="C105" s="346"/>
    </row>
    <row r="106" spans="1:3" ht="12" customHeight="1">
      <c r="A106" s="491" t="s">
        <v>187</v>
      </c>
      <c r="B106" s="170" t="s">
        <v>361</v>
      </c>
      <c r="C106" s="346"/>
    </row>
    <row r="107" spans="1:3" ht="12" customHeight="1">
      <c r="A107" s="491" t="s">
        <v>355</v>
      </c>
      <c r="B107" s="171" t="s">
        <v>362</v>
      </c>
      <c r="C107" s="346"/>
    </row>
    <row r="108" spans="1:3" ht="12" customHeight="1">
      <c r="A108" s="499" t="s">
        <v>356</v>
      </c>
      <c r="B108" s="172" t="s">
        <v>363</v>
      </c>
      <c r="C108" s="346"/>
    </row>
    <row r="109" spans="1:3" ht="12" customHeight="1">
      <c r="A109" s="491" t="s">
        <v>445</v>
      </c>
      <c r="B109" s="172" t="s">
        <v>364</v>
      </c>
      <c r="C109" s="346"/>
    </row>
    <row r="110" spans="1:3" ht="12" customHeight="1">
      <c r="A110" s="491" t="s">
        <v>446</v>
      </c>
      <c r="B110" s="171" t="s">
        <v>365</v>
      </c>
      <c r="C110" s="344"/>
    </row>
    <row r="111" spans="1:3" ht="12" customHeight="1">
      <c r="A111" s="491" t="s">
        <v>450</v>
      </c>
      <c r="B111" s="11" t="s">
        <v>51</v>
      </c>
      <c r="C111" s="344"/>
    </row>
    <row r="112" spans="1:3" ht="12" customHeight="1">
      <c r="A112" s="492" t="s">
        <v>451</v>
      </c>
      <c r="B112" s="8" t="s">
        <v>518</v>
      </c>
      <c r="C112" s="346"/>
    </row>
    <row r="113" spans="1:3" ht="12" customHeight="1" thickBot="1">
      <c r="A113" s="500" t="s">
        <v>452</v>
      </c>
      <c r="B113" s="173" t="s">
        <v>519</v>
      </c>
      <c r="C113" s="350"/>
    </row>
    <row r="114" spans="1:3" ht="12" customHeight="1" thickBot="1">
      <c r="A114" s="37" t="s">
        <v>20</v>
      </c>
      <c r="B114" s="30" t="s">
        <v>366</v>
      </c>
      <c r="C114" s="342">
        <f>+C115+C117+C119</f>
        <v>0</v>
      </c>
    </row>
    <row r="115" spans="1:3" ht="12" customHeight="1">
      <c r="A115" s="490" t="s">
        <v>107</v>
      </c>
      <c r="B115" s="8" t="s">
        <v>229</v>
      </c>
      <c r="C115" s="345"/>
    </row>
    <row r="116" spans="1:3" ht="12" customHeight="1">
      <c r="A116" s="490" t="s">
        <v>108</v>
      </c>
      <c r="B116" s="12" t="s">
        <v>370</v>
      </c>
      <c r="C116" s="345"/>
    </row>
    <row r="117" spans="1:3" ht="12" customHeight="1">
      <c r="A117" s="490" t="s">
        <v>109</v>
      </c>
      <c r="B117" s="12" t="s">
        <v>188</v>
      </c>
      <c r="C117" s="344"/>
    </row>
    <row r="118" spans="1:3" ht="12" customHeight="1">
      <c r="A118" s="490" t="s">
        <v>110</v>
      </c>
      <c r="B118" s="12" t="s">
        <v>371</v>
      </c>
      <c r="C118" s="309"/>
    </row>
    <row r="119" spans="1:3" ht="12" customHeight="1">
      <c r="A119" s="490" t="s">
        <v>111</v>
      </c>
      <c r="B119" s="339" t="s">
        <v>232</v>
      </c>
      <c r="C119" s="309"/>
    </row>
    <row r="120" spans="1:3" ht="12" customHeight="1">
      <c r="A120" s="490" t="s">
        <v>120</v>
      </c>
      <c r="B120" s="338" t="s">
        <v>435</v>
      </c>
      <c r="C120" s="309"/>
    </row>
    <row r="121" spans="1:3" ht="12" customHeight="1">
      <c r="A121" s="490" t="s">
        <v>122</v>
      </c>
      <c r="B121" s="467" t="s">
        <v>376</v>
      </c>
      <c r="C121" s="309"/>
    </row>
    <row r="122" spans="1:3" ht="12" customHeight="1">
      <c r="A122" s="490" t="s">
        <v>189</v>
      </c>
      <c r="B122" s="171" t="s">
        <v>359</v>
      </c>
      <c r="C122" s="309"/>
    </row>
    <row r="123" spans="1:3" ht="12" customHeight="1">
      <c r="A123" s="490" t="s">
        <v>190</v>
      </c>
      <c r="B123" s="171" t="s">
        <v>375</v>
      </c>
      <c r="C123" s="309"/>
    </row>
    <row r="124" spans="1:3" ht="12" customHeight="1">
      <c r="A124" s="490" t="s">
        <v>191</v>
      </c>
      <c r="B124" s="171" t="s">
        <v>374</v>
      </c>
      <c r="C124" s="309"/>
    </row>
    <row r="125" spans="1:3" ht="12" customHeight="1">
      <c r="A125" s="490" t="s">
        <v>367</v>
      </c>
      <c r="B125" s="171" t="s">
        <v>362</v>
      </c>
      <c r="C125" s="309"/>
    </row>
    <row r="126" spans="1:3" ht="12" customHeight="1">
      <c r="A126" s="490" t="s">
        <v>368</v>
      </c>
      <c r="B126" s="171" t="s">
        <v>373</v>
      </c>
      <c r="C126" s="309"/>
    </row>
    <row r="127" spans="1:3" ht="12" customHeight="1" thickBot="1">
      <c r="A127" s="499" t="s">
        <v>369</v>
      </c>
      <c r="B127" s="171" t="s">
        <v>372</v>
      </c>
      <c r="C127" s="311"/>
    </row>
    <row r="128" spans="1:3" ht="12" customHeight="1" thickBot="1">
      <c r="A128" s="37" t="s">
        <v>21</v>
      </c>
      <c r="B128" s="151" t="s">
        <v>455</v>
      </c>
      <c r="C128" s="342">
        <f>+C93+C114</f>
        <v>0</v>
      </c>
    </row>
    <row r="129" spans="1:3" ht="12" customHeight="1" thickBot="1">
      <c r="A129" s="37" t="s">
        <v>22</v>
      </c>
      <c r="B129" s="151" t="s">
        <v>456</v>
      </c>
      <c r="C129" s="342">
        <f>+C130+C131+C132</f>
        <v>0</v>
      </c>
    </row>
    <row r="130" spans="1:3" s="118" customFormat="1" ht="12" customHeight="1">
      <c r="A130" s="490" t="s">
        <v>271</v>
      </c>
      <c r="B130" s="9" t="s">
        <v>523</v>
      </c>
      <c r="C130" s="309"/>
    </row>
    <row r="131" spans="1:3" ht="12" customHeight="1">
      <c r="A131" s="490" t="s">
        <v>272</v>
      </c>
      <c r="B131" s="9" t="s">
        <v>464</v>
      </c>
      <c r="C131" s="309"/>
    </row>
    <row r="132" spans="1:3" ht="12" customHeight="1" thickBot="1">
      <c r="A132" s="499" t="s">
        <v>273</v>
      </c>
      <c r="B132" s="7" t="s">
        <v>522</v>
      </c>
      <c r="C132" s="309"/>
    </row>
    <row r="133" spans="1:3" ht="12" customHeight="1" thickBot="1">
      <c r="A133" s="37" t="s">
        <v>23</v>
      </c>
      <c r="B133" s="151" t="s">
        <v>457</v>
      </c>
      <c r="C133" s="342">
        <f>+C134+C135+C136+C137+C138+C139</f>
        <v>0</v>
      </c>
    </row>
    <row r="134" spans="1:3" ht="12" customHeight="1">
      <c r="A134" s="490" t="s">
        <v>94</v>
      </c>
      <c r="B134" s="9" t="s">
        <v>466</v>
      </c>
      <c r="C134" s="309"/>
    </row>
    <row r="135" spans="1:3" ht="12" customHeight="1">
      <c r="A135" s="490" t="s">
        <v>95</v>
      </c>
      <c r="B135" s="9" t="s">
        <v>458</v>
      </c>
      <c r="C135" s="309"/>
    </row>
    <row r="136" spans="1:3" ht="12" customHeight="1">
      <c r="A136" s="490" t="s">
        <v>96</v>
      </c>
      <c r="B136" s="9" t="s">
        <v>459</v>
      </c>
      <c r="C136" s="309"/>
    </row>
    <row r="137" spans="1:3" ht="12" customHeight="1">
      <c r="A137" s="490" t="s">
        <v>176</v>
      </c>
      <c r="B137" s="9" t="s">
        <v>521</v>
      </c>
      <c r="C137" s="309"/>
    </row>
    <row r="138" spans="1:3" ht="12" customHeight="1">
      <c r="A138" s="490" t="s">
        <v>177</v>
      </c>
      <c r="B138" s="9" t="s">
        <v>461</v>
      </c>
      <c r="C138" s="309"/>
    </row>
    <row r="139" spans="1:3" s="118" customFormat="1" ht="12" customHeight="1" thickBot="1">
      <c r="A139" s="499" t="s">
        <v>178</v>
      </c>
      <c r="B139" s="7" t="s">
        <v>462</v>
      </c>
      <c r="C139" s="309"/>
    </row>
    <row r="140" spans="1:11" ht="12" customHeight="1" thickBot="1">
      <c r="A140" s="37" t="s">
        <v>24</v>
      </c>
      <c r="B140" s="151" t="s">
        <v>549</v>
      </c>
      <c r="C140" s="348">
        <f>+C141+C142+C144+C145+C143</f>
        <v>0</v>
      </c>
      <c r="K140" s="291"/>
    </row>
    <row r="141" spans="1:3" ht="12.75">
      <c r="A141" s="490" t="s">
        <v>97</v>
      </c>
      <c r="B141" s="9" t="s">
        <v>377</v>
      </c>
      <c r="C141" s="309"/>
    </row>
    <row r="142" spans="1:3" ht="12" customHeight="1">
      <c r="A142" s="490" t="s">
        <v>98</v>
      </c>
      <c r="B142" s="9" t="s">
        <v>378</v>
      </c>
      <c r="C142" s="309"/>
    </row>
    <row r="143" spans="1:3" s="118" customFormat="1" ht="12" customHeight="1">
      <c r="A143" s="490" t="s">
        <v>291</v>
      </c>
      <c r="B143" s="9" t="s">
        <v>548</v>
      </c>
      <c r="C143" s="309"/>
    </row>
    <row r="144" spans="1:3" s="118" customFormat="1" ht="12" customHeight="1">
      <c r="A144" s="490" t="s">
        <v>292</v>
      </c>
      <c r="B144" s="9" t="s">
        <v>471</v>
      </c>
      <c r="C144" s="309"/>
    </row>
    <row r="145" spans="1:3" s="118" customFormat="1" ht="12" customHeight="1" thickBot="1">
      <c r="A145" s="499" t="s">
        <v>293</v>
      </c>
      <c r="B145" s="7" t="s">
        <v>397</v>
      </c>
      <c r="C145" s="309"/>
    </row>
    <row r="146" spans="1:3" s="118" customFormat="1" ht="12" customHeight="1" thickBot="1">
      <c r="A146" s="37" t="s">
        <v>25</v>
      </c>
      <c r="B146" s="151" t="s">
        <v>472</v>
      </c>
      <c r="C146" s="351">
        <f>+C147+C148+C149+C150+C151</f>
        <v>0</v>
      </c>
    </row>
    <row r="147" spans="1:3" s="118" customFormat="1" ht="12" customHeight="1">
      <c r="A147" s="490" t="s">
        <v>99</v>
      </c>
      <c r="B147" s="9" t="s">
        <v>467</v>
      </c>
      <c r="C147" s="309"/>
    </row>
    <row r="148" spans="1:3" s="118" customFormat="1" ht="12" customHeight="1">
      <c r="A148" s="490" t="s">
        <v>100</v>
      </c>
      <c r="B148" s="9" t="s">
        <v>474</v>
      </c>
      <c r="C148" s="309"/>
    </row>
    <row r="149" spans="1:3" s="118" customFormat="1" ht="12" customHeight="1">
      <c r="A149" s="490" t="s">
        <v>303</v>
      </c>
      <c r="B149" s="9" t="s">
        <v>469</v>
      </c>
      <c r="C149" s="309"/>
    </row>
    <row r="150" spans="1:3" ht="12.75" customHeight="1">
      <c r="A150" s="490" t="s">
        <v>304</v>
      </c>
      <c r="B150" s="9" t="s">
        <v>524</v>
      </c>
      <c r="C150" s="309"/>
    </row>
    <row r="151" spans="1:3" ht="12.75" customHeight="1" thickBot="1">
      <c r="A151" s="499" t="s">
        <v>473</v>
      </c>
      <c r="B151" s="7" t="s">
        <v>476</v>
      </c>
      <c r="C151" s="311"/>
    </row>
    <row r="152" spans="1:3" ht="12.75" customHeight="1" thickBot="1">
      <c r="A152" s="553" t="s">
        <v>26</v>
      </c>
      <c r="B152" s="151" t="s">
        <v>477</v>
      </c>
      <c r="C152" s="351"/>
    </row>
    <row r="153" spans="1:3" ht="12" customHeight="1" thickBot="1">
      <c r="A153" s="553" t="s">
        <v>27</v>
      </c>
      <c r="B153" s="151" t="s">
        <v>478</v>
      </c>
      <c r="C153" s="351"/>
    </row>
    <row r="154" spans="1:3" ht="15" customHeight="1" thickBot="1">
      <c r="A154" s="37" t="s">
        <v>28</v>
      </c>
      <c r="B154" s="151" t="s">
        <v>480</v>
      </c>
      <c r="C154" s="481">
        <f>+C129+C133+C140+C146+C152+C153</f>
        <v>0</v>
      </c>
    </row>
    <row r="155" spans="1:3" ht="13.5" thickBot="1">
      <c r="A155" s="501" t="s">
        <v>29</v>
      </c>
      <c r="B155" s="433" t="s">
        <v>479</v>
      </c>
      <c r="C155" s="481">
        <f>+C128+C154</f>
        <v>0</v>
      </c>
    </row>
    <row r="156" spans="1:3" ht="15" customHeight="1" thickBot="1">
      <c r="A156" s="441"/>
      <c r="B156" s="442"/>
      <c r="C156" s="443"/>
    </row>
    <row r="157" spans="1:3" ht="14.25" customHeight="1" thickBot="1">
      <c r="A157" s="288" t="s">
        <v>525</v>
      </c>
      <c r="B157" s="289"/>
      <c r="C157" s="148"/>
    </row>
    <row r="158" spans="1:3" ht="13.5" thickBot="1">
      <c r="A158" s="288" t="s">
        <v>207</v>
      </c>
      <c r="B158" s="289"/>
      <c r="C158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rowBreaks count="2" manualBreakCount="2">
    <brk id="65" max="255" man="1"/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BreakPreview" zoomScale="60" workbookViewId="0" topLeftCell="A1">
      <selection activeCell="C25" sqref="C25"/>
    </sheetView>
  </sheetViews>
  <sheetFormatPr defaultColWidth="9.00390625" defaultRowHeight="12.75"/>
  <cols>
    <col min="1" max="1" width="13.875" style="286" customWidth="1"/>
    <col min="2" max="2" width="79.125" style="287" customWidth="1"/>
    <col min="3" max="3" width="25.00390625" style="287" customWidth="1"/>
    <col min="4" max="16384" width="9.375" style="287" customWidth="1"/>
  </cols>
  <sheetData>
    <row r="1" spans="1:3" s="266" customFormat="1" ht="21" customHeight="1" thickBot="1">
      <c r="A1" s="265"/>
      <c r="B1" s="267"/>
      <c r="C1" s="510" t="str">
        <f>+CONCATENATE("9.2. melléklet a ……/",LEFT(ÖSSZEFÜGGÉSEK!A5,4),". (….) önkormányzati rendelethez")</f>
        <v>9.2. melléklet a ……/2016. (….) önkormányzati rendelethez</v>
      </c>
    </row>
    <row r="2" spans="1:3" s="511" customFormat="1" ht="25.5" customHeight="1">
      <c r="A2" s="461" t="s">
        <v>205</v>
      </c>
      <c r="B2" s="403" t="s">
        <v>576</v>
      </c>
      <c r="C2" s="417" t="s">
        <v>61</v>
      </c>
    </row>
    <row r="3" spans="1:3" s="511" customFormat="1" ht="24.75" thickBot="1">
      <c r="A3" s="504" t="s">
        <v>204</v>
      </c>
      <c r="B3" s="404" t="s">
        <v>405</v>
      </c>
      <c r="C3" s="418"/>
    </row>
    <row r="4" spans="1:3" s="512" customFormat="1" ht="15.75" customHeight="1" thickBot="1">
      <c r="A4" s="269"/>
      <c r="B4" s="269"/>
      <c r="C4" s="270" t="s">
        <v>583</v>
      </c>
    </row>
    <row r="5" spans="1:3" ht="13.5" thickBot="1">
      <c r="A5" s="462" t="s">
        <v>206</v>
      </c>
      <c r="B5" s="271" t="s">
        <v>572</v>
      </c>
      <c r="C5" s="272" t="s">
        <v>57</v>
      </c>
    </row>
    <row r="6" spans="1:3" s="513" customFormat="1" ht="12.75" customHeight="1" thickBot="1">
      <c r="A6" s="232"/>
      <c r="B6" s="233" t="s">
        <v>499</v>
      </c>
      <c r="C6" s="234" t="s">
        <v>500</v>
      </c>
    </row>
    <row r="7" spans="1:3" s="513" customFormat="1" ht="15.75" customHeight="1" thickBot="1">
      <c r="A7" s="273"/>
      <c r="B7" s="274" t="s">
        <v>58</v>
      </c>
      <c r="C7" s="275"/>
    </row>
    <row r="8" spans="1:3" s="419" customFormat="1" ht="12" customHeight="1" thickBot="1">
      <c r="A8" s="232" t="s">
        <v>19</v>
      </c>
      <c r="B8" s="276" t="s">
        <v>526</v>
      </c>
      <c r="C8" s="362">
        <f>SUM(C9:C19)</f>
        <v>318000</v>
      </c>
    </row>
    <row r="9" spans="1:3" s="419" customFormat="1" ht="12" customHeight="1">
      <c r="A9" s="505" t="s">
        <v>101</v>
      </c>
      <c r="B9" s="10" t="s">
        <v>280</v>
      </c>
      <c r="C9" s="408">
        <f>'9.2.1. sz. mell HIV'!C9+'9.2.2. sz.  mell HIV'!C9+'9.2.3. sz. mell HIV'!C9</f>
        <v>0</v>
      </c>
    </row>
    <row r="10" spans="1:3" s="419" customFormat="1" ht="12" customHeight="1">
      <c r="A10" s="506" t="s">
        <v>102</v>
      </c>
      <c r="B10" s="8" t="s">
        <v>281</v>
      </c>
      <c r="C10" s="360">
        <f>'9.2.1. sz. mell HIV'!C10+'9.2.2. sz.  mell HIV'!C10+'9.2.3. sz. mell HIV'!C10</f>
        <v>250000</v>
      </c>
    </row>
    <row r="11" spans="1:3" s="419" customFormat="1" ht="12" customHeight="1">
      <c r="A11" s="506" t="s">
        <v>103</v>
      </c>
      <c r="B11" s="8" t="s">
        <v>282</v>
      </c>
      <c r="C11" s="360">
        <f>'9.2.1. sz. mell HIV'!C11+'9.2.2. sz.  mell HIV'!C11+'9.2.3. sz. mell HIV'!C11</f>
        <v>0</v>
      </c>
    </row>
    <row r="12" spans="1:3" s="419" customFormat="1" ht="12" customHeight="1">
      <c r="A12" s="506" t="s">
        <v>104</v>
      </c>
      <c r="B12" s="8" t="s">
        <v>283</v>
      </c>
      <c r="C12" s="360">
        <f>'9.2.1. sz. mell HIV'!C12+'9.2.2. sz.  mell HIV'!C12+'9.2.3. sz. mell HIV'!C12</f>
        <v>0</v>
      </c>
    </row>
    <row r="13" spans="1:3" s="419" customFormat="1" ht="12" customHeight="1">
      <c r="A13" s="506" t="s">
        <v>152</v>
      </c>
      <c r="B13" s="8" t="s">
        <v>284</v>
      </c>
      <c r="C13" s="360">
        <f>'9.2.1. sz. mell HIV'!C13+'9.2.2. sz.  mell HIV'!C13+'9.2.3. sz. mell HIV'!C13</f>
        <v>0</v>
      </c>
    </row>
    <row r="14" spans="1:3" s="419" customFormat="1" ht="12" customHeight="1">
      <c r="A14" s="506" t="s">
        <v>105</v>
      </c>
      <c r="B14" s="8" t="s">
        <v>406</v>
      </c>
      <c r="C14" s="360">
        <f>'9.2.1. sz. mell HIV'!C14+'9.2.2. sz.  mell HIV'!C14+'9.2.3. sz. mell HIV'!C14</f>
        <v>68000</v>
      </c>
    </row>
    <row r="15" spans="1:3" s="419" customFormat="1" ht="12" customHeight="1">
      <c r="A15" s="506" t="s">
        <v>106</v>
      </c>
      <c r="B15" s="7" t="s">
        <v>407</v>
      </c>
      <c r="C15" s="360">
        <f>'9.2.1. sz. mell HIV'!C15+'9.2.2. sz.  mell HIV'!C15+'9.2.3. sz. mell HIV'!C15</f>
        <v>0</v>
      </c>
    </row>
    <row r="16" spans="1:3" s="419" customFormat="1" ht="12" customHeight="1">
      <c r="A16" s="506" t="s">
        <v>116</v>
      </c>
      <c r="B16" s="8" t="s">
        <v>287</v>
      </c>
      <c r="C16" s="360">
        <f>'9.2.1. sz. mell HIV'!C16+'9.2.2. sz.  mell HIV'!C16+'9.2.3. sz. mell HIV'!C16</f>
        <v>0</v>
      </c>
    </row>
    <row r="17" spans="1:3" s="514" customFormat="1" ht="12" customHeight="1">
      <c r="A17" s="506" t="s">
        <v>117</v>
      </c>
      <c r="B17" s="8" t="s">
        <v>288</v>
      </c>
      <c r="C17" s="360">
        <f>'9.2.1. sz. mell HIV'!C17+'9.2.2. sz.  mell HIV'!C17+'9.2.3. sz. mell HIV'!C17</f>
        <v>0</v>
      </c>
    </row>
    <row r="18" spans="1:3" s="514" customFormat="1" ht="12" customHeight="1">
      <c r="A18" s="506" t="s">
        <v>118</v>
      </c>
      <c r="B18" s="8" t="s">
        <v>443</v>
      </c>
      <c r="C18" s="360">
        <f>'9.2.1. sz. mell HIV'!C18+'9.2.2. sz.  mell HIV'!C18+'9.2.3. sz. mell HIV'!C18</f>
        <v>0</v>
      </c>
    </row>
    <row r="19" spans="1:3" s="514" customFormat="1" ht="12" customHeight="1" thickBot="1">
      <c r="A19" s="506" t="s">
        <v>119</v>
      </c>
      <c r="B19" s="7" t="s">
        <v>289</v>
      </c>
      <c r="C19" s="359">
        <f>'9.2.1. sz. mell HIV'!C19+'9.2.2. sz.  mell HIV'!C19+'9.2.3. sz. mell HIV'!C19</f>
        <v>0</v>
      </c>
    </row>
    <row r="20" spans="1:3" s="419" customFormat="1" ht="12" customHeight="1" thickBot="1">
      <c r="A20" s="232" t="s">
        <v>20</v>
      </c>
      <c r="B20" s="276" t="s">
        <v>408</v>
      </c>
      <c r="C20" s="362">
        <f>SUM(C21:C23)</f>
        <v>0</v>
      </c>
    </row>
    <row r="21" spans="1:3" s="514" customFormat="1" ht="12" customHeight="1">
      <c r="A21" s="506" t="s">
        <v>107</v>
      </c>
      <c r="B21" s="9" t="s">
        <v>261</v>
      </c>
      <c r="C21" s="360">
        <f>'9.2.1. sz. mell HIV'!C21+'9.2.2. sz.  mell HIV'!C21+'9.2.3. sz. mell HIV'!C21</f>
        <v>0</v>
      </c>
    </row>
    <row r="22" spans="1:3" s="514" customFormat="1" ht="12" customHeight="1">
      <c r="A22" s="506" t="s">
        <v>108</v>
      </c>
      <c r="B22" s="8" t="s">
        <v>409</v>
      </c>
      <c r="C22" s="360">
        <f>'9.2.1. sz. mell HIV'!C22+'9.2.2. sz.  mell HIV'!C22+'9.2.3. sz. mell HIV'!C22</f>
        <v>0</v>
      </c>
    </row>
    <row r="23" spans="1:3" s="514" customFormat="1" ht="12" customHeight="1">
      <c r="A23" s="506" t="s">
        <v>109</v>
      </c>
      <c r="B23" s="8" t="s">
        <v>410</v>
      </c>
      <c r="C23" s="360">
        <f>'9.2.1. sz. mell HIV'!C23+'9.2.2. sz.  mell HIV'!C23+'9.2.3. sz. mell HIV'!C23</f>
        <v>0</v>
      </c>
    </row>
    <row r="24" spans="1:3" s="514" customFormat="1" ht="12" customHeight="1" thickBot="1">
      <c r="A24" s="587" t="s">
        <v>110</v>
      </c>
      <c r="B24" s="12" t="s">
        <v>527</v>
      </c>
      <c r="C24" s="361">
        <f>'9.2.1. sz. mell HIV'!C24+'9.2.2. sz.  mell HIV'!C24+'9.2.3. sz. mell HIV'!C24</f>
        <v>0</v>
      </c>
    </row>
    <row r="25" spans="1:3" s="514" customFormat="1" ht="12" customHeight="1" thickBot="1">
      <c r="A25" s="240" t="s">
        <v>21</v>
      </c>
      <c r="B25" s="585" t="s">
        <v>175</v>
      </c>
      <c r="C25" s="590">
        <f>'9.2.1. sz. mell HIV'!C25+'9.2.2. sz.  mell HIV'!C25+'9.2.3. sz. mell HIV'!C25</f>
        <v>50000</v>
      </c>
    </row>
    <row r="26" spans="1:3" s="514" customFormat="1" ht="12" customHeight="1" thickBot="1">
      <c r="A26" s="588" t="s">
        <v>22</v>
      </c>
      <c r="B26" s="589" t="s">
        <v>528</v>
      </c>
      <c r="C26" s="586">
        <f>+C27+C28+C29</f>
        <v>0</v>
      </c>
    </row>
    <row r="27" spans="1:3" s="514" customFormat="1" ht="12" customHeight="1">
      <c r="A27" s="507" t="s">
        <v>271</v>
      </c>
      <c r="B27" s="508" t="s">
        <v>266</v>
      </c>
      <c r="C27" s="95">
        <f>'9.2.1. sz. mell HIV'!C27+'9.2.2. sz.  mell HIV'!C27+'9.2.3. sz. mell HIV'!C27</f>
        <v>0</v>
      </c>
    </row>
    <row r="28" spans="1:3" s="514" customFormat="1" ht="12" customHeight="1">
      <c r="A28" s="507" t="s">
        <v>272</v>
      </c>
      <c r="B28" s="508" t="s">
        <v>409</v>
      </c>
      <c r="C28" s="95">
        <f>'9.2.1. sz. mell HIV'!C28+'9.2.2. sz.  mell HIV'!C28+'9.2.3. sz. mell HIV'!C28</f>
        <v>0</v>
      </c>
    </row>
    <row r="29" spans="1:3" s="514" customFormat="1" ht="12" customHeight="1">
      <c r="A29" s="507" t="s">
        <v>273</v>
      </c>
      <c r="B29" s="509" t="s">
        <v>412</v>
      </c>
      <c r="C29" s="95">
        <f>'9.2.1. sz. mell HIV'!C29+'9.2.2. sz.  mell HIV'!C29+'9.2.3. sz. mell HIV'!C29</f>
        <v>0</v>
      </c>
    </row>
    <row r="30" spans="1:3" s="514" customFormat="1" ht="12" customHeight="1" thickBot="1">
      <c r="A30" s="506" t="s">
        <v>274</v>
      </c>
      <c r="B30" s="169" t="s">
        <v>529</v>
      </c>
      <c r="C30" s="95">
        <f>'9.2.1. sz. mell HIV'!C30+'9.2.2. sz.  mell HIV'!C30+'9.2.3. sz. mell HIV'!C30</f>
        <v>0</v>
      </c>
    </row>
    <row r="31" spans="1:3" s="514" customFormat="1" ht="12" customHeight="1" thickBot="1">
      <c r="A31" s="240" t="s">
        <v>23</v>
      </c>
      <c r="B31" s="151" t="s">
        <v>413</v>
      </c>
      <c r="C31" s="362">
        <f>+C32+C33+C34</f>
        <v>0</v>
      </c>
    </row>
    <row r="32" spans="1:3" s="514" customFormat="1" ht="12" customHeight="1">
      <c r="A32" s="507" t="s">
        <v>94</v>
      </c>
      <c r="B32" s="508" t="s">
        <v>294</v>
      </c>
      <c r="C32" s="95">
        <f>'9.2.1. sz. mell HIV'!C32+'9.2.2. sz.  mell HIV'!C32+'9.2.3. sz. mell HIV'!C32</f>
        <v>0</v>
      </c>
    </row>
    <row r="33" spans="1:3" s="514" customFormat="1" ht="12" customHeight="1">
      <c r="A33" s="507" t="s">
        <v>95</v>
      </c>
      <c r="B33" s="509" t="s">
        <v>295</v>
      </c>
      <c r="C33" s="95">
        <f>'9.2.1. sz. mell HIV'!C33+'9.2.2. sz.  mell HIV'!C33+'9.2.3. sz. mell HIV'!C33</f>
        <v>0</v>
      </c>
    </row>
    <row r="34" spans="1:3" s="514" customFormat="1" ht="12" customHeight="1" thickBot="1">
      <c r="A34" s="506" t="s">
        <v>96</v>
      </c>
      <c r="B34" s="169" t="s">
        <v>296</v>
      </c>
      <c r="C34" s="95">
        <f>'9.2.1. sz. mell HIV'!C34+'9.2.2. sz.  mell HIV'!C34+'9.2.3. sz. mell HIV'!C34</f>
        <v>0</v>
      </c>
    </row>
    <row r="35" spans="1:3" s="419" customFormat="1" ht="12" customHeight="1" thickBot="1">
      <c r="A35" s="240" t="s">
        <v>24</v>
      </c>
      <c r="B35" s="151" t="s">
        <v>382</v>
      </c>
      <c r="C35" s="389">
        <f>'9.2.1. sz. mell HIV'!C35+'9.2.2. sz.  mell HIV'!C35+'9.2.3. sz. mell HIV'!C35</f>
        <v>0</v>
      </c>
    </row>
    <row r="36" spans="1:3" s="419" customFormat="1" ht="12" customHeight="1" thickBot="1">
      <c r="A36" s="240" t="s">
        <v>25</v>
      </c>
      <c r="B36" s="151" t="s">
        <v>414</v>
      </c>
      <c r="C36" s="389">
        <f>'9.2.1. sz. mell HIV'!C36+'9.2.2. sz.  mell HIV'!C36+'9.2.3. sz. mell HIV'!C36</f>
        <v>0</v>
      </c>
    </row>
    <row r="37" spans="1:3" s="419" customFormat="1" ht="12" customHeight="1" thickBot="1">
      <c r="A37" s="232" t="s">
        <v>26</v>
      </c>
      <c r="B37" s="151" t="s">
        <v>415</v>
      </c>
      <c r="C37" s="411">
        <f>+C8+C20+C25+C26+C31+C35+C36</f>
        <v>368000</v>
      </c>
    </row>
    <row r="38" spans="1:3" s="419" customFormat="1" ht="12" customHeight="1" thickBot="1">
      <c r="A38" s="277" t="s">
        <v>27</v>
      </c>
      <c r="B38" s="151" t="s">
        <v>416</v>
      </c>
      <c r="C38" s="411">
        <f>+C39+C40+C41</f>
        <v>86672000</v>
      </c>
    </row>
    <row r="39" spans="1:3" s="419" customFormat="1" ht="12" customHeight="1">
      <c r="A39" s="507" t="s">
        <v>417</v>
      </c>
      <c r="B39" s="508" t="s">
        <v>239</v>
      </c>
      <c r="C39" s="95">
        <f>'9.2.1. sz. mell HIV'!C39+'9.2.2. sz.  mell HIV'!C39+'9.2.3. sz. mell HIV'!C39</f>
        <v>0</v>
      </c>
    </row>
    <row r="40" spans="1:3" s="419" customFormat="1" ht="12" customHeight="1">
      <c r="A40" s="507" t="s">
        <v>418</v>
      </c>
      <c r="B40" s="509" t="s">
        <v>2</v>
      </c>
      <c r="C40" s="95">
        <f>'9.2.1. sz. mell HIV'!C40+'9.2.2. sz.  mell HIV'!C40+'9.2.3. sz. mell HIV'!C40</f>
        <v>0</v>
      </c>
    </row>
    <row r="41" spans="1:3" s="514" customFormat="1" ht="12" customHeight="1" thickBot="1">
      <c r="A41" s="506" t="s">
        <v>419</v>
      </c>
      <c r="B41" s="169" t="s">
        <v>420</v>
      </c>
      <c r="C41" s="102">
        <f>'9.2.1. sz. mell HIV'!C41+'9.2.2. sz.  mell HIV'!C41+'9.2.3. sz. mell HIV'!C41</f>
        <v>86672000</v>
      </c>
    </row>
    <row r="42" spans="1:3" s="514" customFormat="1" ht="15" customHeight="1" thickBot="1">
      <c r="A42" s="277" t="s">
        <v>28</v>
      </c>
      <c r="B42" s="278" t="s">
        <v>421</v>
      </c>
      <c r="C42" s="414">
        <f>+C37+C38</f>
        <v>87040000</v>
      </c>
    </row>
    <row r="43" spans="1:3" s="514" customFormat="1" ht="15" customHeight="1">
      <c r="A43" s="279"/>
      <c r="B43" s="280"/>
      <c r="C43" s="412"/>
    </row>
    <row r="44" spans="1:3" ht="13.5" thickBot="1">
      <c r="A44" s="281"/>
      <c r="B44" s="282"/>
      <c r="C44" s="413"/>
    </row>
    <row r="45" spans="1:3" s="513" customFormat="1" ht="16.5" customHeight="1" thickBot="1">
      <c r="A45" s="283"/>
      <c r="B45" s="284" t="s">
        <v>59</v>
      </c>
      <c r="C45" s="414"/>
    </row>
    <row r="46" spans="1:3" s="515" customFormat="1" ht="12" customHeight="1" thickBot="1">
      <c r="A46" s="240" t="s">
        <v>19</v>
      </c>
      <c r="B46" s="151" t="s">
        <v>422</v>
      </c>
      <c r="C46" s="362">
        <f>SUM(C47:C51)</f>
        <v>87040000</v>
      </c>
    </row>
    <row r="47" spans="1:3" ht="12" customHeight="1">
      <c r="A47" s="506" t="s">
        <v>101</v>
      </c>
      <c r="B47" s="9" t="s">
        <v>50</v>
      </c>
      <c r="C47" s="95">
        <f>'9.2.1. sz. mell HIV'!C47+'9.2.2. sz.  mell HIV'!C47+'9.2.3. sz. mell HIV'!C47</f>
        <v>59237000</v>
      </c>
    </row>
    <row r="48" spans="1:3" ht="12" customHeight="1">
      <c r="A48" s="506" t="s">
        <v>102</v>
      </c>
      <c r="B48" s="8" t="s">
        <v>184</v>
      </c>
      <c r="C48" s="95">
        <f>'9.2.1. sz. mell HIV'!C48+'9.2.2. sz.  mell HIV'!C48+'9.2.3. sz. mell HIV'!C48</f>
        <v>16404000</v>
      </c>
    </row>
    <row r="49" spans="1:3" ht="12" customHeight="1">
      <c r="A49" s="506" t="s">
        <v>103</v>
      </c>
      <c r="B49" s="8" t="s">
        <v>144</v>
      </c>
      <c r="C49" s="95">
        <f>'9.2.1. sz. mell HIV'!C49+'9.2.2. sz.  mell HIV'!C49+'9.2.3. sz. mell HIV'!C49</f>
        <v>11399000</v>
      </c>
    </row>
    <row r="50" spans="1:3" ht="12" customHeight="1">
      <c r="A50" s="506" t="s">
        <v>104</v>
      </c>
      <c r="B50" s="8" t="s">
        <v>185</v>
      </c>
      <c r="C50" s="95">
        <f>'9.2.1. sz. mell HIV'!C50+'9.2.2. sz.  mell HIV'!C50+'9.2.3. sz. mell HIV'!C50</f>
        <v>0</v>
      </c>
    </row>
    <row r="51" spans="1:3" ht="12" customHeight="1" thickBot="1">
      <c r="A51" s="506" t="s">
        <v>152</v>
      </c>
      <c r="B51" s="8" t="s">
        <v>186</v>
      </c>
      <c r="C51" s="95">
        <f>'9.2.1. sz. mell HIV'!C51+'9.2.2. sz.  mell HIV'!C51+'9.2.3. sz. mell HIV'!C51</f>
        <v>0</v>
      </c>
    </row>
    <row r="52" spans="1:3" ht="12" customHeight="1" thickBot="1">
      <c r="A52" s="240" t="s">
        <v>20</v>
      </c>
      <c r="B52" s="151" t="s">
        <v>423</v>
      </c>
      <c r="C52" s="362">
        <f>SUM(C53:C55)</f>
        <v>0</v>
      </c>
    </row>
    <row r="53" spans="1:3" s="515" customFormat="1" ht="12" customHeight="1">
      <c r="A53" s="506" t="s">
        <v>107</v>
      </c>
      <c r="B53" s="9" t="s">
        <v>229</v>
      </c>
      <c r="C53" s="95">
        <f>'9.2.1. sz. mell HIV'!C53+'9.2.2. sz.  mell HIV'!C53+'9.2.3. sz. mell HIV'!C53</f>
        <v>0</v>
      </c>
    </row>
    <row r="54" spans="1:3" ht="12" customHeight="1">
      <c r="A54" s="506" t="s">
        <v>108</v>
      </c>
      <c r="B54" s="8" t="s">
        <v>188</v>
      </c>
      <c r="C54" s="95">
        <f>'9.2.1. sz. mell HIV'!C54+'9.2.2. sz.  mell HIV'!C54+'9.2.3. sz. mell HIV'!C54</f>
        <v>0</v>
      </c>
    </row>
    <row r="55" spans="1:3" ht="12" customHeight="1">
      <c r="A55" s="506" t="s">
        <v>109</v>
      </c>
      <c r="B55" s="8" t="s">
        <v>60</v>
      </c>
      <c r="C55" s="95">
        <f>'9.2.1. sz. mell HIV'!C55+'9.2.2. sz.  mell HIV'!C55+'9.2.3. sz. mell HIV'!C55</f>
        <v>0</v>
      </c>
    </row>
    <row r="56" spans="1:3" ht="12" customHeight="1" thickBot="1">
      <c r="A56" s="506" t="s">
        <v>110</v>
      </c>
      <c r="B56" s="8" t="s">
        <v>530</v>
      </c>
      <c r="C56" s="95">
        <f>'9.2.1. sz. mell HIV'!C56+'9.2.2. sz.  mell HIV'!C56+'9.2.3. sz. mell HIV'!C56</f>
        <v>0</v>
      </c>
    </row>
    <row r="57" spans="1:3" ht="12" customHeight="1" thickBot="1">
      <c r="A57" s="240" t="s">
        <v>21</v>
      </c>
      <c r="B57" s="151" t="s">
        <v>13</v>
      </c>
      <c r="C57" s="389"/>
    </row>
    <row r="58" spans="1:3" ht="15" customHeight="1" thickBot="1">
      <c r="A58" s="240" t="s">
        <v>22</v>
      </c>
      <c r="B58" s="285" t="s">
        <v>537</v>
      </c>
      <c r="C58" s="415">
        <f>+C46+C52+C57</f>
        <v>87040000</v>
      </c>
    </row>
    <row r="59" ht="13.5" thickBot="1">
      <c r="C59" s="416"/>
    </row>
    <row r="60" spans="1:3" ht="15" customHeight="1" thickBot="1">
      <c r="A60" s="288" t="s">
        <v>525</v>
      </c>
      <c r="B60" s="289"/>
      <c r="C60" s="148">
        <f>'9.2.1. sz. mell HIV'!C60+'9.2.2. sz.  mell HIV'!C60+'9.2.3. sz. mell HIV'!C60</f>
        <v>24</v>
      </c>
    </row>
    <row r="61" spans="1:3" ht="14.25" customHeight="1" thickBot="1">
      <c r="A61" s="288" t="s">
        <v>207</v>
      </c>
      <c r="B61" s="289"/>
      <c r="C61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61">
      <selection activeCell="C64" sqref="C64"/>
    </sheetView>
  </sheetViews>
  <sheetFormatPr defaultColWidth="9.00390625" defaultRowHeight="12.75"/>
  <cols>
    <col min="1" max="1" width="9.50390625" style="434" customWidth="1"/>
    <col min="2" max="2" width="91.625" style="434" customWidth="1"/>
    <col min="3" max="3" width="21.625" style="435" customWidth="1"/>
    <col min="4" max="4" width="9.00390625" style="468" customWidth="1"/>
    <col min="5" max="16384" width="9.375" style="468" customWidth="1"/>
  </cols>
  <sheetData>
    <row r="1" spans="1:3" ht="15.75" customHeight="1">
      <c r="A1" s="620" t="s">
        <v>16</v>
      </c>
      <c r="B1" s="620"/>
      <c r="C1" s="620"/>
    </row>
    <row r="2" spans="1:3" ht="15.75" customHeight="1" thickBot="1">
      <c r="A2" s="621" t="s">
        <v>156</v>
      </c>
      <c r="B2" s="621"/>
      <c r="C2" s="352" t="s">
        <v>585</v>
      </c>
    </row>
    <row r="3" spans="1:3" ht="37.5" customHeight="1" thickBot="1">
      <c r="A3" s="23" t="s">
        <v>72</v>
      </c>
      <c r="B3" s="24" t="s">
        <v>18</v>
      </c>
      <c r="C3" s="45" t="str">
        <f>+CONCATENATE(LEFT(ÖSSZEFÜGGÉSEK!A5,4),". évi előirányzat")</f>
        <v>2016. évi előirányzat</v>
      </c>
    </row>
    <row r="4" spans="1:3" s="469" customFormat="1" ht="12" customHeight="1" thickBot="1">
      <c r="A4" s="463"/>
      <c r="B4" s="464" t="s">
        <v>499</v>
      </c>
      <c r="C4" s="465" t="s">
        <v>500</v>
      </c>
    </row>
    <row r="5" spans="1:3" s="470" customFormat="1" ht="12" customHeight="1" thickBot="1">
      <c r="A5" s="20" t="s">
        <v>19</v>
      </c>
      <c r="B5" s="21" t="s">
        <v>255</v>
      </c>
      <c r="C5" s="342">
        <f>+C6+C7+C8+C9+C10+C11</f>
        <v>840689736</v>
      </c>
    </row>
    <row r="6" spans="1:3" s="470" customFormat="1" ht="12" customHeight="1">
      <c r="A6" s="15" t="s">
        <v>101</v>
      </c>
      <c r="B6" s="471" t="s">
        <v>256</v>
      </c>
      <c r="C6" s="345">
        <f>'9.1. sz. mell ÖNK'!C9</f>
        <v>165437120</v>
      </c>
    </row>
    <row r="7" spans="1:3" s="470" customFormat="1" ht="12" customHeight="1">
      <c r="A7" s="14" t="s">
        <v>102</v>
      </c>
      <c r="B7" s="472" t="s">
        <v>257</v>
      </c>
      <c r="C7" s="345">
        <f>'9.1. sz. mell ÖNK'!C10</f>
        <v>109277466</v>
      </c>
    </row>
    <row r="8" spans="1:3" s="470" customFormat="1" ht="12" customHeight="1">
      <c r="A8" s="14" t="s">
        <v>103</v>
      </c>
      <c r="B8" s="472" t="s">
        <v>558</v>
      </c>
      <c r="C8" s="345">
        <f>'9.1. sz. mell ÖNK'!C11</f>
        <v>176005244</v>
      </c>
    </row>
    <row r="9" spans="1:3" s="470" customFormat="1" ht="12" customHeight="1">
      <c r="A9" s="14" t="s">
        <v>104</v>
      </c>
      <c r="B9" s="472" t="s">
        <v>259</v>
      </c>
      <c r="C9" s="345">
        <f>'9.1. sz. mell ÖNK'!C12</f>
        <v>8016480</v>
      </c>
    </row>
    <row r="10" spans="1:3" s="470" customFormat="1" ht="12" customHeight="1">
      <c r="A10" s="14" t="s">
        <v>152</v>
      </c>
      <c r="B10" s="338" t="s">
        <v>439</v>
      </c>
      <c r="C10" s="345">
        <f>'9.1. sz. mell ÖNK'!C13</f>
        <v>376281448</v>
      </c>
    </row>
    <row r="11" spans="1:3" s="470" customFormat="1" ht="12" customHeight="1" thickBot="1">
      <c r="A11" s="16" t="s">
        <v>105</v>
      </c>
      <c r="B11" s="339" t="s">
        <v>440</v>
      </c>
      <c r="C11" s="345">
        <f>'9.1. sz. mell ÖNK'!C14</f>
        <v>5671978</v>
      </c>
    </row>
    <row r="12" spans="1:3" s="470" customFormat="1" ht="12" customHeight="1" thickBot="1">
      <c r="A12" s="20" t="s">
        <v>20</v>
      </c>
      <c r="B12" s="337" t="s">
        <v>260</v>
      </c>
      <c r="C12" s="342">
        <f>+C13+C14+C15+C16+C17</f>
        <v>0</v>
      </c>
    </row>
    <row r="13" spans="1:3" s="470" customFormat="1" ht="12" customHeight="1">
      <c r="A13" s="15" t="s">
        <v>107</v>
      </c>
      <c r="B13" s="471" t="s">
        <v>261</v>
      </c>
      <c r="C13" s="345">
        <f>'9.1. sz. mell ÖNK'!C16</f>
        <v>0</v>
      </c>
    </row>
    <row r="14" spans="1:3" s="470" customFormat="1" ht="12" customHeight="1">
      <c r="A14" s="14" t="s">
        <v>108</v>
      </c>
      <c r="B14" s="472" t="s">
        <v>262</v>
      </c>
      <c r="C14" s="345">
        <f>'9.1. sz. mell ÖNK'!C17</f>
        <v>0</v>
      </c>
    </row>
    <row r="15" spans="1:3" s="470" customFormat="1" ht="12" customHeight="1">
      <c r="A15" s="14" t="s">
        <v>109</v>
      </c>
      <c r="B15" s="472" t="s">
        <v>429</v>
      </c>
      <c r="C15" s="345">
        <f>'9.1. sz. mell ÖNK'!C18</f>
        <v>0</v>
      </c>
    </row>
    <row r="16" spans="1:3" s="470" customFormat="1" ht="12" customHeight="1">
      <c r="A16" s="14" t="s">
        <v>110</v>
      </c>
      <c r="B16" s="472" t="s">
        <v>430</v>
      </c>
      <c r="C16" s="345">
        <f>'9.1. sz. mell ÖNK'!C19</f>
        <v>0</v>
      </c>
    </row>
    <row r="17" spans="1:3" s="470" customFormat="1" ht="12" customHeight="1">
      <c r="A17" s="14" t="s">
        <v>111</v>
      </c>
      <c r="B17" s="472" t="s">
        <v>263</v>
      </c>
      <c r="C17" s="345">
        <f>'9.1. sz. mell ÖNK'!C20</f>
        <v>0</v>
      </c>
    </row>
    <row r="18" spans="1:3" s="470" customFormat="1" ht="12" customHeight="1" thickBot="1">
      <c r="A18" s="16" t="s">
        <v>120</v>
      </c>
      <c r="B18" s="339" t="s">
        <v>264</v>
      </c>
      <c r="C18" s="345">
        <f>'9.1. sz. mell ÖNK'!C21</f>
        <v>0</v>
      </c>
    </row>
    <row r="19" spans="1:3" s="470" customFormat="1" ht="12" customHeight="1" thickBot="1">
      <c r="A19" s="20" t="s">
        <v>21</v>
      </c>
      <c r="B19" s="21" t="s">
        <v>265</v>
      </c>
      <c r="C19" s="342">
        <f>+C20+C21+C22+C23+C24</f>
        <v>0</v>
      </c>
    </row>
    <row r="20" spans="1:3" s="470" customFormat="1" ht="12" customHeight="1">
      <c r="A20" s="15" t="s">
        <v>90</v>
      </c>
      <c r="B20" s="471" t="s">
        <v>266</v>
      </c>
      <c r="C20" s="345">
        <f>'9.1. sz. mell ÖNK'!C23</f>
        <v>0</v>
      </c>
    </row>
    <row r="21" spans="1:3" s="470" customFormat="1" ht="12" customHeight="1">
      <c r="A21" s="14" t="s">
        <v>91</v>
      </c>
      <c r="B21" s="472" t="s">
        <v>267</v>
      </c>
      <c r="C21" s="345">
        <f>'9.1. sz. mell ÖNK'!C24</f>
        <v>0</v>
      </c>
    </row>
    <row r="22" spans="1:3" s="470" customFormat="1" ht="12" customHeight="1">
      <c r="A22" s="14" t="s">
        <v>92</v>
      </c>
      <c r="B22" s="472" t="s">
        <v>431</v>
      </c>
      <c r="C22" s="345">
        <f>'9.1. sz. mell ÖNK'!C25</f>
        <v>0</v>
      </c>
    </row>
    <row r="23" spans="1:3" s="470" customFormat="1" ht="12" customHeight="1">
      <c r="A23" s="14" t="s">
        <v>93</v>
      </c>
      <c r="B23" s="472" t="s">
        <v>432</v>
      </c>
      <c r="C23" s="345">
        <f>'9.1. sz. mell ÖNK'!C26</f>
        <v>0</v>
      </c>
    </row>
    <row r="24" spans="1:3" s="470" customFormat="1" ht="12" customHeight="1">
      <c r="A24" s="14" t="s">
        <v>172</v>
      </c>
      <c r="B24" s="472" t="s">
        <v>268</v>
      </c>
      <c r="C24" s="345">
        <f>'9.1. sz. mell ÖNK'!C27</f>
        <v>0</v>
      </c>
    </row>
    <row r="25" spans="1:3" s="470" customFormat="1" ht="12" customHeight="1" thickBot="1">
      <c r="A25" s="16" t="s">
        <v>173</v>
      </c>
      <c r="B25" s="473" t="s">
        <v>269</v>
      </c>
      <c r="C25" s="345">
        <f>'9.1. sz. mell ÖNK'!C28</f>
        <v>0</v>
      </c>
    </row>
    <row r="26" spans="1:3" s="470" customFormat="1" ht="12" customHeight="1" thickBot="1">
      <c r="A26" s="20" t="s">
        <v>174</v>
      </c>
      <c r="B26" s="21" t="s">
        <v>559</v>
      </c>
      <c r="C26" s="348">
        <f>SUM(C27:C33)+'9.2. sz. mell HIV'!C25</f>
        <v>96590000</v>
      </c>
    </row>
    <row r="27" spans="1:3" s="470" customFormat="1" ht="12" customHeight="1">
      <c r="A27" s="15" t="s">
        <v>271</v>
      </c>
      <c r="B27" s="471" t="s">
        <v>563</v>
      </c>
      <c r="C27" s="345">
        <f>'9.1. sz. mell ÖNK'!C30</f>
        <v>0</v>
      </c>
    </row>
    <row r="28" spans="1:3" s="470" customFormat="1" ht="12" customHeight="1">
      <c r="A28" s="14" t="s">
        <v>272</v>
      </c>
      <c r="B28" s="472" t="s">
        <v>564</v>
      </c>
      <c r="C28" s="345">
        <f>'9.1. sz. mell ÖNK'!C31</f>
        <v>0</v>
      </c>
    </row>
    <row r="29" spans="1:3" s="470" customFormat="1" ht="12" customHeight="1">
      <c r="A29" s="14" t="s">
        <v>273</v>
      </c>
      <c r="B29" s="472" t="s">
        <v>565</v>
      </c>
      <c r="C29" s="345">
        <f>'9.1. sz. mell ÖNK'!C32</f>
        <v>67800000</v>
      </c>
    </row>
    <row r="30" spans="1:3" s="470" customFormat="1" ht="12" customHeight="1">
      <c r="A30" s="14" t="s">
        <v>274</v>
      </c>
      <c r="B30" s="472" t="s">
        <v>566</v>
      </c>
      <c r="C30" s="345">
        <f>'9.1. sz. mell ÖNK'!C33</f>
        <v>40000</v>
      </c>
    </row>
    <row r="31" spans="1:3" s="470" customFormat="1" ht="12" customHeight="1">
      <c r="A31" s="14" t="s">
        <v>560</v>
      </c>
      <c r="B31" s="472" t="s">
        <v>275</v>
      </c>
      <c r="C31" s="345">
        <f>'9.1. sz. mell ÖNK'!C34</f>
        <v>13500000</v>
      </c>
    </row>
    <row r="32" spans="1:3" s="470" customFormat="1" ht="12" customHeight="1">
      <c r="A32" s="14" t="s">
        <v>561</v>
      </c>
      <c r="B32" s="472" t="s">
        <v>276</v>
      </c>
      <c r="C32" s="345">
        <f>'9.1. sz. mell ÖNK'!C35</f>
        <v>0</v>
      </c>
    </row>
    <row r="33" spans="1:3" s="470" customFormat="1" ht="12" customHeight="1" thickBot="1">
      <c r="A33" s="16" t="s">
        <v>562</v>
      </c>
      <c r="B33" s="578" t="s">
        <v>277</v>
      </c>
      <c r="C33" s="345">
        <f>'9.1. sz. mell ÖNK'!C36</f>
        <v>15200000</v>
      </c>
    </row>
    <row r="34" spans="1:3" s="470" customFormat="1" ht="12" customHeight="1" thickBot="1">
      <c r="A34" s="20" t="s">
        <v>23</v>
      </c>
      <c r="B34" s="21" t="s">
        <v>441</v>
      </c>
      <c r="C34" s="342">
        <f>SUM(C35:C45)</f>
        <v>109368100</v>
      </c>
    </row>
    <row r="35" spans="1:3" s="470" customFormat="1" ht="12" customHeight="1">
      <c r="A35" s="15" t="s">
        <v>94</v>
      </c>
      <c r="B35" s="471" t="s">
        <v>280</v>
      </c>
      <c r="C35" s="345">
        <f>'9.1. sz. mell ÖNK'!C38+'9.2. sz. mell HIV'!C9+'9.3. sz. mell GAM'!C9+'9.4. sz. mell ILMKS'!C9+'9.5. sz. mell OVI'!C9</f>
        <v>7796000</v>
      </c>
    </row>
    <row r="36" spans="1:3" s="470" customFormat="1" ht="12" customHeight="1">
      <c r="A36" s="14" t="s">
        <v>95</v>
      </c>
      <c r="B36" s="472" t="s">
        <v>281</v>
      </c>
      <c r="C36" s="345">
        <f>'9.1. sz. mell ÖNK'!C39+'9.2. sz. mell HIV'!C10+'9.3. sz. mell GAM'!C10+'9.4. sz. mell ILMKS'!C10+'9.5. sz. mell OVI'!C10</f>
        <v>65696100</v>
      </c>
    </row>
    <row r="37" spans="1:3" s="470" customFormat="1" ht="12" customHeight="1">
      <c r="A37" s="14" t="s">
        <v>96</v>
      </c>
      <c r="B37" s="472" t="s">
        <v>282</v>
      </c>
      <c r="C37" s="345">
        <f>'9.1. sz. mell ÖNK'!C40+'9.2. sz. mell HIV'!C11+'9.3. sz. mell GAM'!C11+'9.4. sz. mell ILMKS'!C11+'9.5. sz. mell OVI'!C11</f>
        <v>2333000</v>
      </c>
    </row>
    <row r="38" spans="1:3" s="470" customFormat="1" ht="12" customHeight="1">
      <c r="A38" s="14" t="s">
        <v>176</v>
      </c>
      <c r="B38" s="472" t="s">
        <v>283</v>
      </c>
      <c r="C38" s="345">
        <f>'9.1. sz. mell ÖNK'!C41+'9.2. sz. mell HIV'!C12+'9.3. sz. mell GAM'!C12+'9.4. sz. mell ILMKS'!C12+'9.5. sz. mell OVI'!C12</f>
        <v>3500000</v>
      </c>
    </row>
    <row r="39" spans="1:3" s="470" customFormat="1" ht="12" customHeight="1">
      <c r="A39" s="14" t="s">
        <v>177</v>
      </c>
      <c r="B39" s="472" t="s">
        <v>284</v>
      </c>
      <c r="C39" s="345">
        <f>'9.1. sz. mell ÖNK'!C42+'9.2. sz. mell HIV'!C13+'9.3. sz. mell GAM'!C13+'9.4. sz. mell ILMKS'!C13+'9.5. sz. mell OVI'!C13</f>
        <v>4868000</v>
      </c>
    </row>
    <row r="40" spans="1:3" s="470" customFormat="1" ht="12" customHeight="1">
      <c r="A40" s="14" t="s">
        <v>178</v>
      </c>
      <c r="B40" s="472" t="s">
        <v>285</v>
      </c>
      <c r="C40" s="345">
        <f>'9.1. sz. mell ÖNK'!C43+'9.2. sz. mell HIV'!C14+'9.3. sz. mell GAM'!C14+'9.4. sz. mell ILMKS'!C14+'9.5. sz. mell OVI'!C14</f>
        <v>22175000</v>
      </c>
    </row>
    <row r="41" spans="1:3" s="470" customFormat="1" ht="12" customHeight="1">
      <c r="A41" s="14" t="s">
        <v>179</v>
      </c>
      <c r="B41" s="472" t="s">
        <v>286</v>
      </c>
      <c r="C41" s="345">
        <f>'9.1. sz. mell ÖNK'!C44+'9.2. sz. mell HIV'!C15+'9.3. sz. mell GAM'!C15+'9.4. sz. mell ILMKS'!C15+'9.5. sz. mell OVI'!C15</f>
        <v>3000000</v>
      </c>
    </row>
    <row r="42" spans="1:3" s="470" customFormat="1" ht="12" customHeight="1">
      <c r="A42" s="14" t="s">
        <v>180</v>
      </c>
      <c r="B42" s="472" t="s">
        <v>568</v>
      </c>
      <c r="C42" s="345">
        <f>'9.1. sz. mell ÖNK'!C45+'9.2. sz. mell HIV'!C16+'9.3. sz. mell GAM'!C16+'9.4. sz. mell ILMKS'!C16+'9.5. sz. mell OVI'!C16</f>
        <v>0</v>
      </c>
    </row>
    <row r="43" spans="1:3" s="470" customFormat="1" ht="12" customHeight="1">
      <c r="A43" s="14" t="s">
        <v>278</v>
      </c>
      <c r="B43" s="472" t="s">
        <v>288</v>
      </c>
      <c r="C43" s="345">
        <f>'9.1. sz. mell ÖNK'!C46+'9.2. sz. mell HIV'!C17+'9.3. sz. mell GAM'!C17+'9.4. sz. mell ILMKS'!C17+'9.5. sz. mell OVI'!C17</f>
        <v>0</v>
      </c>
    </row>
    <row r="44" spans="1:3" s="470" customFormat="1" ht="12" customHeight="1">
      <c r="A44" s="16" t="s">
        <v>279</v>
      </c>
      <c r="B44" s="473" t="s">
        <v>443</v>
      </c>
      <c r="C44" s="345">
        <f>'9.1. sz. mell ÖNK'!C47+'9.2. sz. mell HIV'!C18+'9.3. sz. mell GAM'!C18+'9.4. sz. mell ILMKS'!C18+'9.5. sz. mell OVI'!C18</f>
        <v>0</v>
      </c>
    </row>
    <row r="45" spans="1:3" s="470" customFormat="1" ht="12" customHeight="1" thickBot="1">
      <c r="A45" s="16" t="s">
        <v>442</v>
      </c>
      <c r="B45" s="339" t="s">
        <v>289</v>
      </c>
      <c r="C45" s="345">
        <f>'9.1. sz. mell ÖNK'!C48+'9.2. sz. mell HIV'!C19+'9.3. sz. mell GAM'!C19+'9.4. sz. mell ILMKS'!C19+'9.5. sz. mell OVI'!C19</f>
        <v>0</v>
      </c>
    </row>
    <row r="46" spans="1:3" s="470" customFormat="1" ht="12" customHeight="1" thickBot="1">
      <c r="A46" s="20" t="s">
        <v>24</v>
      </c>
      <c r="B46" s="21" t="s">
        <v>290</v>
      </c>
      <c r="C46" s="342">
        <f>SUM(C47:C51)</f>
        <v>12712000</v>
      </c>
    </row>
    <row r="47" spans="1:3" s="470" customFormat="1" ht="12" customHeight="1">
      <c r="A47" s="15" t="s">
        <v>97</v>
      </c>
      <c r="B47" s="471" t="s">
        <v>294</v>
      </c>
      <c r="C47" s="516">
        <f>'9.1. sz. mell ÖNK'!C50</f>
        <v>0</v>
      </c>
    </row>
    <row r="48" spans="1:3" s="470" customFormat="1" ht="12" customHeight="1">
      <c r="A48" s="14" t="s">
        <v>98</v>
      </c>
      <c r="B48" s="472" t="s">
        <v>295</v>
      </c>
      <c r="C48" s="516">
        <f>'9.1. sz. mell ÖNK'!C51</f>
        <v>10712000</v>
      </c>
    </row>
    <row r="49" spans="1:3" s="470" customFormat="1" ht="12" customHeight="1">
      <c r="A49" s="14" t="s">
        <v>291</v>
      </c>
      <c r="B49" s="472" t="s">
        <v>296</v>
      </c>
      <c r="C49" s="516">
        <f>'9.1. sz. mell ÖNK'!C52</f>
        <v>2000000</v>
      </c>
    </row>
    <row r="50" spans="1:3" s="470" customFormat="1" ht="12" customHeight="1">
      <c r="A50" s="14" t="s">
        <v>292</v>
      </c>
      <c r="B50" s="472" t="s">
        <v>297</v>
      </c>
      <c r="C50" s="516">
        <f>'9.1. sz. mell ÖNK'!C53</f>
        <v>0</v>
      </c>
    </row>
    <row r="51" spans="1:3" s="470" customFormat="1" ht="12" customHeight="1" thickBot="1">
      <c r="A51" s="16" t="s">
        <v>293</v>
      </c>
      <c r="B51" s="339" t="s">
        <v>298</v>
      </c>
      <c r="C51" s="516">
        <f>'9.1. sz. mell ÖNK'!C54</f>
        <v>0</v>
      </c>
    </row>
    <row r="52" spans="1:3" s="470" customFormat="1" ht="12" customHeight="1" thickBot="1">
      <c r="A52" s="20" t="s">
        <v>181</v>
      </c>
      <c r="B52" s="21" t="s">
        <v>299</v>
      </c>
      <c r="C52" s="342">
        <f>SUM(C53:C55)</f>
        <v>0</v>
      </c>
    </row>
    <row r="53" spans="1:3" s="470" customFormat="1" ht="12" customHeight="1">
      <c r="A53" s="15" t="s">
        <v>99</v>
      </c>
      <c r="B53" s="471" t="s">
        <v>300</v>
      </c>
      <c r="C53" s="345">
        <f>'9.1. sz. mell ÖNK'!C56</f>
        <v>0</v>
      </c>
    </row>
    <row r="54" spans="1:3" s="470" customFormat="1" ht="12" customHeight="1">
      <c r="A54" s="14" t="s">
        <v>100</v>
      </c>
      <c r="B54" s="472" t="s">
        <v>433</v>
      </c>
      <c r="C54" s="345">
        <f>'9.1. sz. mell ÖNK'!C57</f>
        <v>0</v>
      </c>
    </row>
    <row r="55" spans="1:3" s="470" customFormat="1" ht="12" customHeight="1">
      <c r="A55" s="14" t="s">
        <v>303</v>
      </c>
      <c r="B55" s="472" t="s">
        <v>301</v>
      </c>
      <c r="C55" s="345">
        <f>'9.1. sz. mell ÖNK'!C58</f>
        <v>0</v>
      </c>
    </row>
    <row r="56" spans="1:3" s="470" customFormat="1" ht="12" customHeight="1" thickBot="1">
      <c r="A56" s="16" t="s">
        <v>304</v>
      </c>
      <c r="B56" s="339" t="s">
        <v>302</v>
      </c>
      <c r="C56" s="345">
        <f>'9.1. sz. mell ÖNK'!C59</f>
        <v>0</v>
      </c>
    </row>
    <row r="57" spans="1:3" s="470" customFormat="1" ht="12" customHeight="1" thickBot="1">
      <c r="A57" s="20" t="s">
        <v>26</v>
      </c>
      <c r="B57" s="337" t="s">
        <v>305</v>
      </c>
      <c r="C57" s="342">
        <f>SUM(C58:C60)</f>
        <v>17810000</v>
      </c>
    </row>
    <row r="58" spans="1:3" s="470" customFormat="1" ht="12" customHeight="1">
      <c r="A58" s="15" t="s">
        <v>182</v>
      </c>
      <c r="B58" s="471" t="s">
        <v>307</v>
      </c>
      <c r="C58" s="347">
        <f>'9.1. sz. mell ÖNK'!C61</f>
        <v>0</v>
      </c>
    </row>
    <row r="59" spans="1:3" s="470" customFormat="1" ht="12" customHeight="1">
      <c r="A59" s="14" t="s">
        <v>183</v>
      </c>
      <c r="B59" s="472" t="s">
        <v>434</v>
      </c>
      <c r="C59" s="347">
        <f>'9.1. sz. mell ÖNK'!C62</f>
        <v>810000</v>
      </c>
    </row>
    <row r="60" spans="1:3" s="470" customFormat="1" ht="12" customHeight="1">
      <c r="A60" s="14" t="s">
        <v>231</v>
      </c>
      <c r="B60" s="472" t="s">
        <v>308</v>
      </c>
      <c r="C60" s="347">
        <f>'9.1. sz. mell ÖNK'!C63</f>
        <v>17000000</v>
      </c>
    </row>
    <row r="61" spans="1:3" s="470" customFormat="1" ht="12" customHeight="1" thickBot="1">
      <c r="A61" s="16" t="s">
        <v>306</v>
      </c>
      <c r="B61" s="339" t="s">
        <v>309</v>
      </c>
      <c r="C61" s="347">
        <f>'9.1. sz. mell ÖNK'!C64</f>
        <v>0</v>
      </c>
    </row>
    <row r="62" spans="1:3" s="470" customFormat="1" ht="12" customHeight="1" thickBot="1">
      <c r="A62" s="550" t="s">
        <v>483</v>
      </c>
      <c r="B62" s="21" t="s">
        <v>310</v>
      </c>
      <c r="C62" s="348">
        <f>+C5+C12+C19+C26+C34+C46+C52+C57</f>
        <v>1077169836</v>
      </c>
    </row>
    <row r="63" spans="1:3" s="470" customFormat="1" ht="12" customHeight="1" thickBot="1">
      <c r="A63" s="519" t="s">
        <v>311</v>
      </c>
      <c r="B63" s="337" t="s">
        <v>312</v>
      </c>
      <c r="C63" s="342">
        <f>SUM(C64:C66)</f>
        <v>45359000</v>
      </c>
    </row>
    <row r="64" spans="1:3" s="470" customFormat="1" ht="12" customHeight="1">
      <c r="A64" s="15" t="s">
        <v>343</v>
      </c>
      <c r="B64" s="471" t="s">
        <v>313</v>
      </c>
      <c r="C64" s="347">
        <f>'9.1. sz. mell ÖNK'!C67</f>
        <v>45359000</v>
      </c>
    </row>
    <row r="65" spans="1:3" s="470" customFormat="1" ht="12" customHeight="1">
      <c r="A65" s="14" t="s">
        <v>352</v>
      </c>
      <c r="B65" s="472" t="s">
        <v>314</v>
      </c>
      <c r="C65" s="347"/>
    </row>
    <row r="66" spans="1:3" s="470" customFormat="1" ht="12" customHeight="1" thickBot="1">
      <c r="A66" s="16" t="s">
        <v>353</v>
      </c>
      <c r="B66" s="544" t="s">
        <v>468</v>
      </c>
      <c r="C66" s="347"/>
    </row>
    <row r="67" spans="1:3" s="470" customFormat="1" ht="12" customHeight="1" thickBot="1">
      <c r="A67" s="519" t="s">
        <v>316</v>
      </c>
      <c r="B67" s="337" t="s">
        <v>317</v>
      </c>
      <c r="C67" s="342">
        <f>SUM(C68:C71)</f>
        <v>0</v>
      </c>
    </row>
    <row r="68" spans="1:3" s="470" customFormat="1" ht="12" customHeight="1">
      <c r="A68" s="15" t="s">
        <v>153</v>
      </c>
      <c r="B68" s="471" t="s">
        <v>318</v>
      </c>
      <c r="C68" s="347"/>
    </row>
    <row r="69" spans="1:3" s="470" customFormat="1" ht="12" customHeight="1">
      <c r="A69" s="14" t="s">
        <v>154</v>
      </c>
      <c r="B69" s="472" t="s">
        <v>319</v>
      </c>
      <c r="C69" s="347"/>
    </row>
    <row r="70" spans="1:3" s="470" customFormat="1" ht="12" customHeight="1">
      <c r="A70" s="14" t="s">
        <v>344</v>
      </c>
      <c r="B70" s="472" t="s">
        <v>320</v>
      </c>
      <c r="C70" s="347"/>
    </row>
    <row r="71" spans="1:3" s="470" customFormat="1" ht="12" customHeight="1" thickBot="1">
      <c r="A71" s="16" t="s">
        <v>345</v>
      </c>
      <c r="B71" s="339" t="s">
        <v>321</v>
      </c>
      <c r="C71" s="347"/>
    </row>
    <row r="72" spans="1:3" s="470" customFormat="1" ht="12" customHeight="1" thickBot="1">
      <c r="A72" s="519" t="s">
        <v>322</v>
      </c>
      <c r="B72" s="337" t="s">
        <v>323</v>
      </c>
      <c r="C72" s="342">
        <f>SUM(C73:C74)</f>
        <v>40000000</v>
      </c>
    </row>
    <row r="73" spans="1:3" s="470" customFormat="1" ht="12" customHeight="1">
      <c r="A73" s="15" t="s">
        <v>346</v>
      </c>
      <c r="B73" s="471" t="s">
        <v>324</v>
      </c>
      <c r="C73" s="347">
        <f>'9.1.1. sz. mell ÖNK'!C76+'9.2. sz. mell HIV'!C39+'9.3. sz. mell GAM'!C38+'9.4. sz. mell ILMKS'!C38+'9.5. sz. mell OVI'!C38</f>
        <v>40000000</v>
      </c>
    </row>
    <row r="74" spans="1:3" s="470" customFormat="1" ht="12" customHeight="1" thickBot="1">
      <c r="A74" s="16" t="s">
        <v>347</v>
      </c>
      <c r="B74" s="339" t="s">
        <v>325</v>
      </c>
      <c r="C74" s="347">
        <f>'9.1.1. sz. mell ÖNK'!C77+'9.2. sz. mell HIV'!C40+'9.3. sz. mell GAM'!C39+'9.4. sz. mell ILMKS'!C39+'9.5. sz. mell OVI'!C39</f>
        <v>0</v>
      </c>
    </row>
    <row r="75" spans="1:3" s="470" customFormat="1" ht="12" customHeight="1" thickBot="1">
      <c r="A75" s="519" t="s">
        <v>326</v>
      </c>
      <c r="B75" s="337" t="s">
        <v>327</v>
      </c>
      <c r="C75" s="342">
        <f>SUM(C76:C78)</f>
        <v>0</v>
      </c>
    </row>
    <row r="76" spans="1:3" s="470" customFormat="1" ht="12" customHeight="1">
      <c r="A76" s="15" t="s">
        <v>348</v>
      </c>
      <c r="B76" s="471" t="s">
        <v>328</v>
      </c>
      <c r="C76" s="347"/>
    </row>
    <row r="77" spans="1:3" s="470" customFormat="1" ht="12" customHeight="1">
      <c r="A77" s="14" t="s">
        <v>349</v>
      </c>
      <c r="B77" s="472" t="s">
        <v>329</v>
      </c>
      <c r="C77" s="347"/>
    </row>
    <row r="78" spans="1:3" s="470" customFormat="1" ht="12" customHeight="1" thickBot="1">
      <c r="A78" s="16" t="s">
        <v>350</v>
      </c>
      <c r="B78" s="339" t="s">
        <v>330</v>
      </c>
      <c r="C78" s="347"/>
    </row>
    <row r="79" spans="1:3" s="470" customFormat="1" ht="12" customHeight="1" thickBot="1">
      <c r="A79" s="519" t="s">
        <v>331</v>
      </c>
      <c r="B79" s="337" t="s">
        <v>351</v>
      </c>
      <c r="C79" s="342">
        <f>SUM(C80:C83)</f>
        <v>0</v>
      </c>
    </row>
    <row r="80" spans="1:3" s="470" customFormat="1" ht="12" customHeight="1">
      <c r="A80" s="475" t="s">
        <v>332</v>
      </c>
      <c r="B80" s="471" t="s">
        <v>333</v>
      </c>
      <c r="C80" s="347"/>
    </row>
    <row r="81" spans="1:3" s="470" customFormat="1" ht="12" customHeight="1">
      <c r="A81" s="476" t="s">
        <v>334</v>
      </c>
      <c r="B81" s="472" t="s">
        <v>335</v>
      </c>
      <c r="C81" s="347"/>
    </row>
    <row r="82" spans="1:3" s="470" customFormat="1" ht="12" customHeight="1">
      <c r="A82" s="476" t="s">
        <v>336</v>
      </c>
      <c r="B82" s="472" t="s">
        <v>337</v>
      </c>
      <c r="C82" s="347"/>
    </row>
    <row r="83" spans="1:3" s="470" customFormat="1" ht="12" customHeight="1" thickBot="1">
      <c r="A83" s="477" t="s">
        <v>338</v>
      </c>
      <c r="B83" s="339" t="s">
        <v>339</v>
      </c>
      <c r="C83" s="347"/>
    </row>
    <row r="84" spans="1:3" s="470" customFormat="1" ht="12" customHeight="1" thickBot="1">
      <c r="A84" s="519" t="s">
        <v>340</v>
      </c>
      <c r="B84" s="337" t="s">
        <v>482</v>
      </c>
      <c r="C84" s="517"/>
    </row>
    <row r="85" spans="1:3" s="470" customFormat="1" ht="13.5" customHeight="1" thickBot="1">
      <c r="A85" s="519" t="s">
        <v>342</v>
      </c>
      <c r="B85" s="337" t="s">
        <v>341</v>
      </c>
      <c r="C85" s="517"/>
    </row>
    <row r="86" spans="1:3" s="470" customFormat="1" ht="15.75" customHeight="1" thickBot="1">
      <c r="A86" s="519" t="s">
        <v>354</v>
      </c>
      <c r="B86" s="478" t="s">
        <v>485</v>
      </c>
      <c r="C86" s="348">
        <f>+C63+C67+C72+C75+C79+C85+C84</f>
        <v>85359000</v>
      </c>
    </row>
    <row r="87" spans="1:3" s="470" customFormat="1" ht="16.5" customHeight="1" thickBot="1">
      <c r="A87" s="520" t="s">
        <v>484</v>
      </c>
      <c r="B87" s="479" t="s">
        <v>486</v>
      </c>
      <c r="C87" s="348">
        <f>+C62+C86</f>
        <v>1162528836</v>
      </c>
    </row>
    <row r="88" spans="1:3" s="470" customFormat="1" ht="36" customHeight="1">
      <c r="A88" s="5"/>
      <c r="B88" s="6"/>
      <c r="C88" s="349"/>
    </row>
    <row r="89" spans="1:3" ht="16.5" customHeight="1">
      <c r="A89" s="620" t="s">
        <v>48</v>
      </c>
      <c r="B89" s="620"/>
      <c r="C89" s="620"/>
    </row>
    <row r="90" spans="1:3" s="480" customFormat="1" ht="16.5" customHeight="1" thickBot="1">
      <c r="A90" s="622" t="s">
        <v>157</v>
      </c>
      <c r="B90" s="622"/>
      <c r="C90" s="167" t="s">
        <v>585</v>
      </c>
    </row>
    <row r="91" spans="1:3" ht="37.5" customHeight="1" thickBot="1">
      <c r="A91" s="23" t="s">
        <v>72</v>
      </c>
      <c r="B91" s="24" t="s">
        <v>49</v>
      </c>
      <c r="C91" s="45" t="str">
        <f>+C3</f>
        <v>2016. évi előirányzat</v>
      </c>
    </row>
    <row r="92" spans="1:3" s="469" customFormat="1" ht="12" customHeight="1" thickBot="1">
      <c r="A92" s="37"/>
      <c r="B92" s="38" t="s">
        <v>499</v>
      </c>
      <c r="C92" s="39" t="s">
        <v>500</v>
      </c>
    </row>
    <row r="93" spans="1:3" ht="12" customHeight="1" thickBot="1">
      <c r="A93" s="22" t="s">
        <v>19</v>
      </c>
      <c r="B93" s="31" t="s">
        <v>444</v>
      </c>
      <c r="C93" s="341">
        <f>C94+C95+C96+C97+C98+C111</f>
        <v>1093917836</v>
      </c>
    </row>
    <row r="94" spans="1:3" ht="12" customHeight="1">
      <c r="A94" s="17" t="s">
        <v>101</v>
      </c>
      <c r="B94" s="10" t="s">
        <v>50</v>
      </c>
      <c r="C94" s="592">
        <f>'9.1. sz. mell ÖNK'!C94+'9.2. sz. mell HIV'!C47+'9.3. sz. mell GAM'!C46+'9.4. sz. mell ILMKS'!C46+'9.5. sz. mell OVI'!C46</f>
        <v>518589000</v>
      </c>
    </row>
    <row r="95" spans="1:3" ht="12" customHeight="1">
      <c r="A95" s="14" t="s">
        <v>102</v>
      </c>
      <c r="B95" s="8" t="s">
        <v>184</v>
      </c>
      <c r="C95" s="344">
        <f>'9.1. sz. mell ÖNK'!C95+'9.2. sz. mell HIV'!C48+'9.3. sz. mell GAM'!C47+'9.4. sz. mell ILMKS'!C47+'9.5. sz. mell OVI'!C47</f>
        <v>105750000</v>
      </c>
    </row>
    <row r="96" spans="1:3" ht="12" customHeight="1">
      <c r="A96" s="14" t="s">
        <v>103</v>
      </c>
      <c r="B96" s="8" t="s">
        <v>144</v>
      </c>
      <c r="C96" s="344">
        <f>'9.1. sz. mell ÖNK'!C96+'9.2. sz. mell HIV'!C49+'9.3. sz. mell GAM'!C48+'9.4. sz. mell ILMKS'!C48+'9.5. sz. mell OVI'!C48</f>
        <v>376246836</v>
      </c>
    </row>
    <row r="97" spans="1:3" ht="12" customHeight="1">
      <c r="A97" s="14" t="s">
        <v>104</v>
      </c>
      <c r="B97" s="11" t="s">
        <v>185</v>
      </c>
      <c r="C97" s="593">
        <f>'9.1. sz. mell ÖNK'!C97+'9.2. sz. mell HIV'!C50+'9.3. sz. mell GAM'!C49+'9.4. sz. mell ILMKS'!C49+'9.5. sz. mell OVI'!C49</f>
        <v>35992000</v>
      </c>
    </row>
    <row r="98" spans="1:3" ht="12" customHeight="1">
      <c r="A98" s="14" t="s">
        <v>115</v>
      </c>
      <c r="B98" s="19" t="s">
        <v>186</v>
      </c>
      <c r="C98" s="344">
        <f>'9.1. sz. mell ÖNK'!C98+'9.2. sz. mell HIV'!C51+'9.3. sz. mell GAM'!C50+'9.4. sz. mell ILMKS'!C50+'9.5. sz. mell OVI'!C50</f>
        <v>57340000</v>
      </c>
    </row>
    <row r="99" spans="1:3" ht="12" customHeight="1">
      <c r="A99" s="14" t="s">
        <v>105</v>
      </c>
      <c r="B99" s="8" t="s">
        <v>449</v>
      </c>
      <c r="C99" s="346">
        <f>'9.1. sz. mell ÖNK'!C99</f>
        <v>0</v>
      </c>
    </row>
    <row r="100" spans="1:3" ht="12" customHeight="1">
      <c r="A100" s="14" t="s">
        <v>106</v>
      </c>
      <c r="B100" s="172" t="s">
        <v>448</v>
      </c>
      <c r="C100" s="346">
        <f>'9.1. sz. mell ÖNK'!C100</f>
        <v>0</v>
      </c>
    </row>
    <row r="101" spans="1:3" ht="12" customHeight="1">
      <c r="A101" s="14" t="s">
        <v>116</v>
      </c>
      <c r="B101" s="172" t="s">
        <v>447</v>
      </c>
      <c r="C101" s="346">
        <f>'9.1. sz. mell ÖNK'!C101</f>
        <v>0</v>
      </c>
    </row>
    <row r="102" spans="1:3" ht="12" customHeight="1">
      <c r="A102" s="14" t="s">
        <v>117</v>
      </c>
      <c r="B102" s="170" t="s">
        <v>357</v>
      </c>
      <c r="C102" s="346">
        <f>'9.1. sz. mell ÖNK'!C102</f>
        <v>0</v>
      </c>
    </row>
    <row r="103" spans="1:3" ht="12" customHeight="1">
      <c r="A103" s="14" t="s">
        <v>118</v>
      </c>
      <c r="B103" s="171" t="s">
        <v>358</v>
      </c>
      <c r="C103" s="346">
        <f>'9.1. sz. mell ÖNK'!C103</f>
        <v>0</v>
      </c>
    </row>
    <row r="104" spans="1:3" ht="12" customHeight="1">
      <c r="A104" s="14" t="s">
        <v>119</v>
      </c>
      <c r="B104" s="171" t="s">
        <v>359</v>
      </c>
      <c r="C104" s="346">
        <f>'9.1. sz. mell ÖNK'!C104</f>
        <v>0</v>
      </c>
    </row>
    <row r="105" spans="1:3" ht="12" customHeight="1">
      <c r="A105" s="14" t="s">
        <v>121</v>
      </c>
      <c r="B105" s="170" t="s">
        <v>360</v>
      </c>
      <c r="C105" s="346">
        <f>'9.1. sz. mell ÖNK'!C105</f>
        <v>40740000</v>
      </c>
    </row>
    <row r="106" spans="1:3" ht="12" customHeight="1">
      <c r="A106" s="14" t="s">
        <v>187</v>
      </c>
      <c r="B106" s="170" t="s">
        <v>361</v>
      </c>
      <c r="C106" s="346">
        <f>'9.1. sz. mell ÖNK'!C106</f>
        <v>0</v>
      </c>
    </row>
    <row r="107" spans="1:3" ht="12" customHeight="1">
      <c r="A107" s="14" t="s">
        <v>355</v>
      </c>
      <c r="B107" s="171" t="s">
        <v>362</v>
      </c>
      <c r="C107" s="346">
        <f>'9.1. sz. mell ÖNK'!C107</f>
        <v>0</v>
      </c>
    </row>
    <row r="108" spans="1:3" ht="12" customHeight="1">
      <c r="A108" s="13" t="s">
        <v>356</v>
      </c>
      <c r="B108" s="172" t="s">
        <v>363</v>
      </c>
      <c r="C108" s="346">
        <f>'9.1. sz. mell ÖNK'!C108</f>
        <v>0</v>
      </c>
    </row>
    <row r="109" spans="1:3" ht="12" customHeight="1">
      <c r="A109" s="14" t="s">
        <v>445</v>
      </c>
      <c r="B109" s="172" t="s">
        <v>364</v>
      </c>
      <c r="C109" s="346">
        <f>'9.1. sz. mell ÖNK'!C109</f>
        <v>0</v>
      </c>
    </row>
    <row r="110" spans="1:3" ht="12" customHeight="1">
      <c r="A110" s="16" t="s">
        <v>446</v>
      </c>
      <c r="B110" s="172" t="s">
        <v>365</v>
      </c>
      <c r="C110" s="346">
        <f>'9.1. sz. mell ÖNK'!C110</f>
        <v>16600000</v>
      </c>
    </row>
    <row r="111" spans="1:3" ht="12" customHeight="1">
      <c r="A111" s="14" t="s">
        <v>450</v>
      </c>
      <c r="B111" s="11" t="s">
        <v>51</v>
      </c>
      <c r="C111" s="346">
        <f>'9.1. sz. mell ÖNK'!C111</f>
        <v>0</v>
      </c>
    </row>
    <row r="112" spans="1:3" ht="12" customHeight="1">
      <c r="A112" s="14" t="s">
        <v>451</v>
      </c>
      <c r="B112" s="8" t="s">
        <v>453</v>
      </c>
      <c r="C112" s="346">
        <f>'9.1. sz. mell ÖNK'!C112</f>
        <v>0</v>
      </c>
    </row>
    <row r="113" spans="1:3" ht="12" customHeight="1" thickBot="1">
      <c r="A113" s="16" t="s">
        <v>452</v>
      </c>
      <c r="B113" s="605" t="s">
        <v>454</v>
      </c>
      <c r="C113" s="346">
        <f>'9.1. sz. mell ÖNK'!C113</f>
        <v>0</v>
      </c>
    </row>
    <row r="114" spans="1:3" ht="12" customHeight="1" thickBot="1">
      <c r="A114" s="20" t="s">
        <v>20</v>
      </c>
      <c r="B114" s="30" t="s">
        <v>366</v>
      </c>
      <c r="C114" s="342">
        <f>+C115+C117+C119</f>
        <v>66078000</v>
      </c>
    </row>
    <row r="115" spans="1:3" ht="12" customHeight="1">
      <c r="A115" s="15" t="s">
        <v>107</v>
      </c>
      <c r="B115" s="8" t="s">
        <v>229</v>
      </c>
      <c r="C115" s="345">
        <f>'9.1. sz. mell ÖNK'!C115+'9.2. sz. mell HIV'!C53+'9.3. sz. mell GAM'!C52+'9.4. sz. mell ILMKS'!C52+'9.5. sz. mell OVI'!C52</f>
        <v>61278000</v>
      </c>
    </row>
    <row r="116" spans="1:3" ht="12" customHeight="1">
      <c r="A116" s="15" t="s">
        <v>108</v>
      </c>
      <c r="B116" s="12" t="s">
        <v>370</v>
      </c>
      <c r="C116" s="345"/>
    </row>
    <row r="117" spans="1:3" ht="12" customHeight="1">
      <c r="A117" s="15" t="s">
        <v>109</v>
      </c>
      <c r="B117" s="12" t="s">
        <v>188</v>
      </c>
      <c r="C117" s="345">
        <f>'9.1. sz. mell ÖNK'!C117+'9.2. sz. mell HIV'!C54+'9.3. sz. mell GAM'!C53+'9.4. sz. mell ILMKS'!C53+'9.5. sz. mell OVI'!C53</f>
        <v>4800000</v>
      </c>
    </row>
    <row r="118" spans="1:3" ht="12" customHeight="1">
      <c r="A118" s="15" t="s">
        <v>110</v>
      </c>
      <c r="B118" s="12" t="s">
        <v>371</v>
      </c>
      <c r="C118" s="309"/>
    </row>
    <row r="119" spans="1:3" ht="12" customHeight="1">
      <c r="A119" s="15" t="s">
        <v>111</v>
      </c>
      <c r="B119" s="339" t="s">
        <v>232</v>
      </c>
      <c r="C119" s="345">
        <f>'9.1. sz. mell ÖNK'!C119+'9.2. sz. mell HIV'!C55+'9.3. sz. mell GAM'!C54+'9.4. sz. mell ILMKS'!C54+'9.5. sz. mell OVI'!C54</f>
        <v>0</v>
      </c>
    </row>
    <row r="120" spans="1:3" ht="12" customHeight="1">
      <c r="A120" s="15" t="s">
        <v>120</v>
      </c>
      <c r="B120" s="338" t="s">
        <v>435</v>
      </c>
      <c r="C120" s="309"/>
    </row>
    <row r="121" spans="1:3" ht="12" customHeight="1">
      <c r="A121" s="15" t="s">
        <v>122</v>
      </c>
      <c r="B121" s="467" t="s">
        <v>376</v>
      </c>
      <c r="C121" s="309"/>
    </row>
    <row r="122" spans="1:3" ht="15.75">
      <c r="A122" s="15" t="s">
        <v>189</v>
      </c>
      <c r="B122" s="171" t="s">
        <v>359</v>
      </c>
      <c r="C122" s="309"/>
    </row>
    <row r="123" spans="1:3" ht="12" customHeight="1">
      <c r="A123" s="15" t="s">
        <v>190</v>
      </c>
      <c r="B123" s="171" t="s">
        <v>375</v>
      </c>
      <c r="C123" s="309"/>
    </row>
    <row r="124" spans="1:3" ht="12" customHeight="1">
      <c r="A124" s="15" t="s">
        <v>191</v>
      </c>
      <c r="B124" s="171" t="s">
        <v>374</v>
      </c>
      <c r="C124" s="309"/>
    </row>
    <row r="125" spans="1:3" ht="12" customHeight="1">
      <c r="A125" s="15" t="s">
        <v>367</v>
      </c>
      <c r="B125" s="171" t="s">
        <v>362</v>
      </c>
      <c r="C125" s="309"/>
    </row>
    <row r="126" spans="1:3" ht="12" customHeight="1">
      <c r="A126" s="15" t="s">
        <v>368</v>
      </c>
      <c r="B126" s="171" t="s">
        <v>373</v>
      </c>
      <c r="C126" s="309"/>
    </row>
    <row r="127" spans="1:3" ht="16.5" thickBot="1">
      <c r="A127" s="13" t="s">
        <v>369</v>
      </c>
      <c r="B127" s="171" t="s">
        <v>372</v>
      </c>
      <c r="C127" s="311">
        <f>'9.1. sz. mell ÖNK'!C127</f>
        <v>0</v>
      </c>
    </row>
    <row r="128" spans="1:3" ht="12" customHeight="1" thickBot="1">
      <c r="A128" s="20" t="s">
        <v>21</v>
      </c>
      <c r="B128" s="151" t="s">
        <v>455</v>
      </c>
      <c r="C128" s="342">
        <f>+C93+C114</f>
        <v>1159995836</v>
      </c>
    </row>
    <row r="129" spans="1:3" ht="12" customHeight="1" thickBot="1">
      <c r="A129" s="20" t="s">
        <v>22</v>
      </c>
      <c r="B129" s="151" t="s">
        <v>456</v>
      </c>
      <c r="C129" s="342">
        <f>+C130+C131+C132</f>
        <v>1633000</v>
      </c>
    </row>
    <row r="130" spans="1:3" ht="12" customHeight="1">
      <c r="A130" s="15" t="s">
        <v>271</v>
      </c>
      <c r="B130" s="12" t="s">
        <v>463</v>
      </c>
      <c r="C130" s="309">
        <f>'9.1. sz. mell ÖNK'!C130</f>
        <v>1633000</v>
      </c>
    </row>
    <row r="131" spans="1:3" ht="12" customHeight="1">
      <c r="A131" s="15" t="s">
        <v>272</v>
      </c>
      <c r="B131" s="12" t="s">
        <v>464</v>
      </c>
      <c r="C131" s="309"/>
    </row>
    <row r="132" spans="1:3" ht="12" customHeight="1" thickBot="1">
      <c r="A132" s="13" t="s">
        <v>273</v>
      </c>
      <c r="B132" s="12" t="s">
        <v>465</v>
      </c>
      <c r="C132" s="309"/>
    </row>
    <row r="133" spans="1:3" ht="12" customHeight="1" thickBot="1">
      <c r="A133" s="20" t="s">
        <v>23</v>
      </c>
      <c r="B133" s="151" t="s">
        <v>457</v>
      </c>
      <c r="C133" s="342">
        <f>SUM(C134:C139)</f>
        <v>0</v>
      </c>
    </row>
    <row r="134" spans="1:3" ht="12" customHeight="1">
      <c r="A134" s="15" t="s">
        <v>94</v>
      </c>
      <c r="B134" s="9" t="s">
        <v>466</v>
      </c>
      <c r="C134" s="309"/>
    </row>
    <row r="135" spans="1:3" ht="12" customHeight="1">
      <c r="A135" s="15" t="s">
        <v>95</v>
      </c>
      <c r="B135" s="9" t="s">
        <v>458</v>
      </c>
      <c r="C135" s="309"/>
    </row>
    <row r="136" spans="1:3" ht="12" customHeight="1">
      <c r="A136" s="15" t="s">
        <v>96</v>
      </c>
      <c r="B136" s="9" t="s">
        <v>459</v>
      </c>
      <c r="C136" s="309"/>
    </row>
    <row r="137" spans="1:3" ht="12" customHeight="1">
      <c r="A137" s="15" t="s">
        <v>176</v>
      </c>
      <c r="B137" s="9" t="s">
        <v>460</v>
      </c>
      <c r="C137" s="309"/>
    </row>
    <row r="138" spans="1:3" ht="12" customHeight="1">
      <c r="A138" s="15" t="s">
        <v>177</v>
      </c>
      <c r="B138" s="9" t="s">
        <v>461</v>
      </c>
      <c r="C138" s="309"/>
    </row>
    <row r="139" spans="1:3" ht="12" customHeight="1" thickBot="1">
      <c r="A139" s="13" t="s">
        <v>178</v>
      </c>
      <c r="B139" s="9" t="s">
        <v>462</v>
      </c>
      <c r="C139" s="309"/>
    </row>
    <row r="140" spans="1:3" ht="12" customHeight="1" thickBot="1">
      <c r="A140" s="20" t="s">
        <v>24</v>
      </c>
      <c r="B140" s="151" t="s">
        <v>470</v>
      </c>
      <c r="C140" s="348">
        <f>+C141+C142+C143+C144</f>
        <v>900000</v>
      </c>
    </row>
    <row r="141" spans="1:3" ht="12" customHeight="1">
      <c r="A141" s="15" t="s">
        <v>97</v>
      </c>
      <c r="B141" s="9" t="s">
        <v>377</v>
      </c>
      <c r="C141" s="309"/>
    </row>
    <row r="142" spans="1:3" ht="12" customHeight="1">
      <c r="A142" s="15" t="s">
        <v>98</v>
      </c>
      <c r="B142" s="9" t="s">
        <v>378</v>
      </c>
      <c r="C142" s="309"/>
    </row>
    <row r="143" spans="1:3" ht="12" customHeight="1">
      <c r="A143" s="15" t="s">
        <v>291</v>
      </c>
      <c r="B143" s="9" t="s">
        <v>471</v>
      </c>
      <c r="C143" s="309"/>
    </row>
    <row r="144" spans="1:3" ht="12" customHeight="1" thickBot="1">
      <c r="A144" s="13" t="s">
        <v>292</v>
      </c>
      <c r="B144" s="7" t="s">
        <v>397</v>
      </c>
      <c r="C144" s="309">
        <f>'9.1. sz. mell ÖNK'!C145</f>
        <v>900000</v>
      </c>
    </row>
    <row r="145" spans="1:3" ht="12" customHeight="1" thickBot="1">
      <c r="A145" s="20" t="s">
        <v>25</v>
      </c>
      <c r="B145" s="151" t="s">
        <v>472</v>
      </c>
      <c r="C145" s="351">
        <f>SUM(C146:C150)</f>
        <v>0</v>
      </c>
    </row>
    <row r="146" spans="1:3" ht="12" customHeight="1">
      <c r="A146" s="15" t="s">
        <v>99</v>
      </c>
      <c r="B146" s="9" t="s">
        <v>467</v>
      </c>
      <c r="C146" s="309"/>
    </row>
    <row r="147" spans="1:3" ht="12" customHeight="1">
      <c r="A147" s="15" t="s">
        <v>100</v>
      </c>
      <c r="B147" s="9" t="s">
        <v>474</v>
      </c>
      <c r="C147" s="309"/>
    </row>
    <row r="148" spans="1:3" ht="12" customHeight="1">
      <c r="A148" s="15" t="s">
        <v>303</v>
      </c>
      <c r="B148" s="9" t="s">
        <v>469</v>
      </c>
      <c r="C148" s="309"/>
    </row>
    <row r="149" spans="1:3" ht="12" customHeight="1">
      <c r="A149" s="15" t="s">
        <v>304</v>
      </c>
      <c r="B149" s="9" t="s">
        <v>475</v>
      </c>
      <c r="C149" s="309"/>
    </row>
    <row r="150" spans="1:3" ht="12" customHeight="1" thickBot="1">
      <c r="A150" s="15" t="s">
        <v>473</v>
      </c>
      <c r="B150" s="9" t="s">
        <v>476</v>
      </c>
      <c r="C150" s="309"/>
    </row>
    <row r="151" spans="1:3" ht="12" customHeight="1" thickBot="1">
      <c r="A151" s="20" t="s">
        <v>26</v>
      </c>
      <c r="B151" s="151" t="s">
        <v>477</v>
      </c>
      <c r="C151" s="549"/>
    </row>
    <row r="152" spans="1:3" ht="12" customHeight="1" thickBot="1">
      <c r="A152" s="20" t="s">
        <v>27</v>
      </c>
      <c r="B152" s="151" t="s">
        <v>478</v>
      </c>
      <c r="C152" s="549"/>
    </row>
    <row r="153" spans="1:9" ht="15" customHeight="1" thickBot="1">
      <c r="A153" s="20" t="s">
        <v>28</v>
      </c>
      <c r="B153" s="151" t="s">
        <v>480</v>
      </c>
      <c r="C153" s="481">
        <f>+C129+C133+C140+C145+C151+C152</f>
        <v>2533000</v>
      </c>
      <c r="F153" s="482"/>
      <c r="G153" s="483"/>
      <c r="H153" s="483"/>
      <c r="I153" s="483"/>
    </row>
    <row r="154" spans="1:3" s="470" customFormat="1" ht="12.75" customHeight="1" thickBot="1">
      <c r="A154" s="340" t="s">
        <v>29</v>
      </c>
      <c r="B154" s="433" t="s">
        <v>479</v>
      </c>
      <c r="C154" s="481">
        <f>+C128+C153</f>
        <v>1162528836</v>
      </c>
    </row>
    <row r="155" ht="7.5" customHeight="1"/>
    <row r="156" spans="1:3" ht="15.75">
      <c r="A156" s="623" t="s">
        <v>379</v>
      </c>
      <c r="B156" s="623"/>
      <c r="C156" s="623"/>
    </row>
    <row r="157" spans="1:3" ht="15" customHeight="1" thickBot="1">
      <c r="A157" s="621" t="s">
        <v>158</v>
      </c>
      <c r="B157" s="621"/>
      <c r="C157" s="352" t="s">
        <v>230</v>
      </c>
    </row>
    <row r="158" spans="1:4" ht="13.5" customHeight="1" thickBot="1">
      <c r="A158" s="20">
        <v>1</v>
      </c>
      <c r="B158" s="30" t="s">
        <v>481</v>
      </c>
      <c r="C158" s="342">
        <f>+C62-C128</f>
        <v>-82826000</v>
      </c>
      <c r="D158" s="484"/>
    </row>
    <row r="159" spans="1:3" ht="27.75" customHeight="1" thickBot="1">
      <c r="A159" s="20" t="s">
        <v>20</v>
      </c>
      <c r="B159" s="30" t="s">
        <v>580</v>
      </c>
      <c r="C159" s="342">
        <f>+C86-C153</f>
        <v>82826000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Ibrány Város Önkormányzata
2016. ÉVI KÖLTSÉGVETÉSÉNEK ÖSSZEVONT MÉRLEGE&amp;10
&amp;R&amp;"Times New Roman CE,Félkövér dőlt"&amp;11 1.1. melléklet a ........./2016. (.......) önkormányzati rendelethez</oddHeader>
  </headerFooter>
  <rowBreaks count="1" manualBreakCount="1">
    <brk id="87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A37">
      <selection activeCell="D58" sqref="D58"/>
    </sheetView>
  </sheetViews>
  <sheetFormatPr defaultColWidth="9.00390625" defaultRowHeight="12.75"/>
  <cols>
    <col min="1" max="1" width="13.875" style="286" customWidth="1"/>
    <col min="2" max="2" width="79.125" style="287" customWidth="1"/>
    <col min="3" max="3" width="25.00390625" style="287" customWidth="1"/>
    <col min="4" max="16384" width="9.375" style="287" customWidth="1"/>
  </cols>
  <sheetData>
    <row r="1" spans="1:3" s="266" customFormat="1" ht="21" customHeight="1" thickBot="1">
      <c r="A1" s="265"/>
      <c r="B1" s="267"/>
      <c r="C1" s="510" t="str">
        <f>+CONCATENATE("9.2.1. melléklet a ……/",LEFT(ÖSSZEFÜGGÉSEK!A5,4),". (….) önkormányzati rendelethez")</f>
        <v>9.2.1. melléklet a ……/2016. (….) önkormányzati rendelethez</v>
      </c>
    </row>
    <row r="2" spans="1:3" s="511" customFormat="1" ht="25.5" customHeight="1">
      <c r="A2" s="461" t="s">
        <v>205</v>
      </c>
      <c r="B2" s="403" t="s">
        <v>576</v>
      </c>
      <c r="C2" s="417" t="s">
        <v>61</v>
      </c>
    </row>
    <row r="3" spans="1:3" s="511" customFormat="1" ht="24.75" thickBot="1">
      <c r="A3" s="504" t="s">
        <v>204</v>
      </c>
      <c r="B3" s="404" t="s">
        <v>424</v>
      </c>
      <c r="C3" s="418" t="s">
        <v>55</v>
      </c>
    </row>
    <row r="4" spans="1:3" s="512" customFormat="1" ht="15.75" customHeight="1" thickBot="1">
      <c r="A4" s="269"/>
      <c r="B4" s="269"/>
      <c r="C4" s="270" t="s">
        <v>583</v>
      </c>
    </row>
    <row r="5" spans="1:3" ht="13.5" thickBot="1">
      <c r="A5" s="462" t="s">
        <v>206</v>
      </c>
      <c r="B5" s="271" t="s">
        <v>572</v>
      </c>
      <c r="C5" s="272" t="s">
        <v>57</v>
      </c>
    </row>
    <row r="6" spans="1:3" s="513" customFormat="1" ht="12.75" customHeight="1" thickBot="1">
      <c r="A6" s="232"/>
      <c r="B6" s="233" t="s">
        <v>499</v>
      </c>
      <c r="C6" s="234" t="s">
        <v>500</v>
      </c>
    </row>
    <row r="7" spans="1:3" s="513" customFormat="1" ht="15.75" customHeight="1" thickBot="1">
      <c r="A7" s="273"/>
      <c r="B7" s="274" t="s">
        <v>58</v>
      </c>
      <c r="C7" s="275"/>
    </row>
    <row r="8" spans="1:3" s="419" customFormat="1" ht="12" customHeight="1" thickBot="1">
      <c r="A8" s="232" t="s">
        <v>19</v>
      </c>
      <c r="B8" s="276" t="s">
        <v>526</v>
      </c>
      <c r="C8" s="362">
        <f>SUM(C9:C19)</f>
        <v>318000</v>
      </c>
    </row>
    <row r="9" spans="1:3" s="419" customFormat="1" ht="12" customHeight="1">
      <c r="A9" s="505" t="s">
        <v>101</v>
      </c>
      <c r="B9" s="10" t="s">
        <v>280</v>
      </c>
      <c r="C9" s="408"/>
    </row>
    <row r="10" spans="1:3" s="419" customFormat="1" ht="12" customHeight="1">
      <c r="A10" s="506" t="s">
        <v>102</v>
      </c>
      <c r="B10" s="8" t="s">
        <v>281</v>
      </c>
      <c r="C10" s="360">
        <v>250000</v>
      </c>
    </row>
    <row r="11" spans="1:3" s="419" customFormat="1" ht="12" customHeight="1">
      <c r="A11" s="506" t="s">
        <v>103</v>
      </c>
      <c r="B11" s="8" t="s">
        <v>282</v>
      </c>
      <c r="C11" s="360"/>
    </row>
    <row r="12" spans="1:3" s="419" customFormat="1" ht="12" customHeight="1">
      <c r="A12" s="506" t="s">
        <v>104</v>
      </c>
      <c r="B12" s="8" t="s">
        <v>283</v>
      </c>
      <c r="C12" s="360"/>
    </row>
    <row r="13" spans="1:3" s="419" customFormat="1" ht="12" customHeight="1">
      <c r="A13" s="506" t="s">
        <v>152</v>
      </c>
      <c r="B13" s="8" t="s">
        <v>284</v>
      </c>
      <c r="C13" s="360"/>
    </row>
    <row r="14" spans="1:3" s="419" customFormat="1" ht="12" customHeight="1">
      <c r="A14" s="506" t="s">
        <v>105</v>
      </c>
      <c r="B14" s="8" t="s">
        <v>406</v>
      </c>
      <c r="C14" s="360">
        <v>68000</v>
      </c>
    </row>
    <row r="15" spans="1:3" s="419" customFormat="1" ht="12" customHeight="1">
      <c r="A15" s="506" t="s">
        <v>106</v>
      </c>
      <c r="B15" s="7" t="s">
        <v>407</v>
      </c>
      <c r="C15" s="360"/>
    </row>
    <row r="16" spans="1:3" s="419" customFormat="1" ht="12" customHeight="1">
      <c r="A16" s="506" t="s">
        <v>116</v>
      </c>
      <c r="B16" s="8" t="s">
        <v>287</v>
      </c>
      <c r="C16" s="409"/>
    </row>
    <row r="17" spans="1:3" s="514" customFormat="1" ht="12" customHeight="1">
      <c r="A17" s="506" t="s">
        <v>117</v>
      </c>
      <c r="B17" s="8" t="s">
        <v>288</v>
      </c>
      <c r="C17" s="360"/>
    </row>
    <row r="18" spans="1:3" s="514" customFormat="1" ht="12" customHeight="1">
      <c r="A18" s="506" t="s">
        <v>118</v>
      </c>
      <c r="B18" s="8" t="s">
        <v>443</v>
      </c>
      <c r="C18" s="361"/>
    </row>
    <row r="19" spans="1:3" s="514" customFormat="1" ht="12" customHeight="1" thickBot="1">
      <c r="A19" s="506" t="s">
        <v>119</v>
      </c>
      <c r="B19" s="7" t="s">
        <v>289</v>
      </c>
      <c r="C19" s="361"/>
    </row>
    <row r="20" spans="1:3" s="419" customFormat="1" ht="12" customHeight="1" thickBot="1">
      <c r="A20" s="232" t="s">
        <v>20</v>
      </c>
      <c r="B20" s="276" t="s">
        <v>408</v>
      </c>
      <c r="C20" s="362">
        <f>SUM(C21:C23)</f>
        <v>0</v>
      </c>
    </row>
    <row r="21" spans="1:3" s="514" customFormat="1" ht="12" customHeight="1">
      <c r="A21" s="506" t="s">
        <v>107</v>
      </c>
      <c r="B21" s="9" t="s">
        <v>261</v>
      </c>
      <c r="C21" s="360"/>
    </row>
    <row r="22" spans="1:3" s="514" customFormat="1" ht="12" customHeight="1">
      <c r="A22" s="506" t="s">
        <v>108</v>
      </c>
      <c r="B22" s="8" t="s">
        <v>409</v>
      </c>
      <c r="C22" s="360"/>
    </row>
    <row r="23" spans="1:3" s="514" customFormat="1" ht="12" customHeight="1">
      <c r="A23" s="506" t="s">
        <v>109</v>
      </c>
      <c r="B23" s="8" t="s">
        <v>410</v>
      </c>
      <c r="C23" s="360"/>
    </row>
    <row r="24" spans="1:3" s="514" customFormat="1" ht="12" customHeight="1" thickBot="1">
      <c r="A24" s="506" t="s">
        <v>110</v>
      </c>
      <c r="B24" s="8" t="s">
        <v>527</v>
      </c>
      <c r="C24" s="360"/>
    </row>
    <row r="25" spans="1:3" s="514" customFormat="1" ht="12" customHeight="1" thickBot="1">
      <c r="A25" s="240" t="s">
        <v>21</v>
      </c>
      <c r="B25" s="151" t="s">
        <v>175</v>
      </c>
      <c r="C25" s="389">
        <v>50000</v>
      </c>
    </row>
    <row r="26" spans="1:3" s="514" customFormat="1" ht="12" customHeight="1" thickBot="1">
      <c r="A26" s="240" t="s">
        <v>22</v>
      </c>
      <c r="B26" s="151" t="s">
        <v>528</v>
      </c>
      <c r="C26" s="362">
        <f>+C27+C28+C29</f>
        <v>0</v>
      </c>
    </row>
    <row r="27" spans="1:3" s="514" customFormat="1" ht="12" customHeight="1">
      <c r="A27" s="507" t="s">
        <v>271</v>
      </c>
      <c r="B27" s="508" t="s">
        <v>266</v>
      </c>
      <c r="C27" s="95"/>
    </row>
    <row r="28" spans="1:3" s="514" customFormat="1" ht="12" customHeight="1">
      <c r="A28" s="507" t="s">
        <v>272</v>
      </c>
      <c r="B28" s="508" t="s">
        <v>409</v>
      </c>
      <c r="C28" s="360"/>
    </row>
    <row r="29" spans="1:3" s="514" customFormat="1" ht="12" customHeight="1">
      <c r="A29" s="507" t="s">
        <v>273</v>
      </c>
      <c r="B29" s="509" t="s">
        <v>412</v>
      </c>
      <c r="C29" s="360"/>
    </row>
    <row r="30" spans="1:3" s="514" customFormat="1" ht="12" customHeight="1" thickBot="1">
      <c r="A30" s="506" t="s">
        <v>274</v>
      </c>
      <c r="B30" s="169" t="s">
        <v>529</v>
      </c>
      <c r="C30" s="102"/>
    </row>
    <row r="31" spans="1:3" s="514" customFormat="1" ht="12" customHeight="1" thickBot="1">
      <c r="A31" s="240" t="s">
        <v>23</v>
      </c>
      <c r="B31" s="151" t="s">
        <v>413</v>
      </c>
      <c r="C31" s="362">
        <f>+C32+C33+C34</f>
        <v>0</v>
      </c>
    </row>
    <row r="32" spans="1:3" s="514" customFormat="1" ht="12" customHeight="1">
      <c r="A32" s="507" t="s">
        <v>94</v>
      </c>
      <c r="B32" s="508" t="s">
        <v>294</v>
      </c>
      <c r="C32" s="95"/>
    </row>
    <row r="33" spans="1:3" s="514" customFormat="1" ht="12" customHeight="1">
      <c r="A33" s="507" t="s">
        <v>95</v>
      </c>
      <c r="B33" s="509" t="s">
        <v>295</v>
      </c>
      <c r="C33" s="363"/>
    </row>
    <row r="34" spans="1:3" s="514" customFormat="1" ht="12" customHeight="1" thickBot="1">
      <c r="A34" s="506" t="s">
        <v>96</v>
      </c>
      <c r="B34" s="169" t="s">
        <v>296</v>
      </c>
      <c r="C34" s="102"/>
    </row>
    <row r="35" spans="1:3" s="419" customFormat="1" ht="12" customHeight="1" thickBot="1">
      <c r="A35" s="240" t="s">
        <v>24</v>
      </c>
      <c r="B35" s="151" t="s">
        <v>382</v>
      </c>
      <c r="C35" s="389"/>
    </row>
    <row r="36" spans="1:3" s="419" customFormat="1" ht="12" customHeight="1" thickBot="1">
      <c r="A36" s="240" t="s">
        <v>25</v>
      </c>
      <c r="B36" s="151" t="s">
        <v>414</v>
      </c>
      <c r="C36" s="410"/>
    </row>
    <row r="37" spans="1:3" s="419" customFormat="1" ht="12" customHeight="1" thickBot="1">
      <c r="A37" s="232" t="s">
        <v>26</v>
      </c>
      <c r="B37" s="151" t="s">
        <v>415</v>
      </c>
      <c r="C37" s="411">
        <f>+C8+C20+C25+C26+C31+C35+C36</f>
        <v>368000</v>
      </c>
    </row>
    <row r="38" spans="1:3" s="419" customFormat="1" ht="12" customHeight="1" thickBot="1">
      <c r="A38" s="277" t="s">
        <v>27</v>
      </c>
      <c r="B38" s="151" t="s">
        <v>416</v>
      </c>
      <c r="C38" s="411">
        <f>+C39+C40+C41</f>
        <v>68003000</v>
      </c>
    </row>
    <row r="39" spans="1:3" s="419" customFormat="1" ht="12" customHeight="1">
      <c r="A39" s="507" t="s">
        <v>417</v>
      </c>
      <c r="B39" s="508" t="s">
        <v>239</v>
      </c>
      <c r="C39" s="95"/>
    </row>
    <row r="40" spans="1:3" s="419" customFormat="1" ht="12" customHeight="1">
      <c r="A40" s="507" t="s">
        <v>418</v>
      </c>
      <c r="B40" s="509" t="s">
        <v>2</v>
      </c>
      <c r="C40" s="363"/>
    </row>
    <row r="41" spans="1:3" s="514" customFormat="1" ht="12" customHeight="1" thickBot="1">
      <c r="A41" s="506" t="s">
        <v>419</v>
      </c>
      <c r="B41" s="169" t="s">
        <v>420</v>
      </c>
      <c r="C41" s="102">
        <f>C58-C37</f>
        <v>68003000</v>
      </c>
    </row>
    <row r="42" spans="1:3" s="514" customFormat="1" ht="15" customHeight="1" thickBot="1">
      <c r="A42" s="277" t="s">
        <v>28</v>
      </c>
      <c r="B42" s="278" t="s">
        <v>421</v>
      </c>
      <c r="C42" s="414">
        <f>+C37+C38</f>
        <v>68371000</v>
      </c>
    </row>
    <row r="43" spans="1:3" s="514" customFormat="1" ht="15" customHeight="1">
      <c r="A43" s="279"/>
      <c r="B43" s="280"/>
      <c r="C43" s="412"/>
    </row>
    <row r="44" spans="1:3" ht="13.5" thickBot="1">
      <c r="A44" s="281"/>
      <c r="B44" s="282"/>
      <c r="C44" s="413"/>
    </row>
    <row r="45" spans="1:3" s="513" customFormat="1" ht="16.5" customHeight="1" thickBot="1">
      <c r="A45" s="283"/>
      <c r="B45" s="284" t="s">
        <v>59</v>
      </c>
      <c r="C45" s="414"/>
    </row>
    <row r="46" spans="1:3" s="515" customFormat="1" ht="12" customHeight="1" thickBot="1">
      <c r="A46" s="240" t="s">
        <v>19</v>
      </c>
      <c r="B46" s="151" t="s">
        <v>422</v>
      </c>
      <c r="C46" s="362">
        <f>SUM(C47:C51)</f>
        <v>68371000</v>
      </c>
    </row>
    <row r="47" spans="1:3" ht="12" customHeight="1">
      <c r="A47" s="506" t="s">
        <v>101</v>
      </c>
      <c r="B47" s="9" t="s">
        <v>50</v>
      </c>
      <c r="C47" s="95">
        <v>44980000</v>
      </c>
    </row>
    <row r="48" spans="1:3" ht="12" customHeight="1">
      <c r="A48" s="506" t="s">
        <v>102</v>
      </c>
      <c r="B48" s="8" t="s">
        <v>184</v>
      </c>
      <c r="C48" s="98">
        <v>12492000</v>
      </c>
    </row>
    <row r="49" spans="1:3" ht="12" customHeight="1">
      <c r="A49" s="506" t="s">
        <v>103</v>
      </c>
      <c r="B49" s="8" t="s">
        <v>144</v>
      </c>
      <c r="C49" s="98">
        <v>10899000</v>
      </c>
    </row>
    <row r="50" spans="1:3" ht="12" customHeight="1">
      <c r="A50" s="506" t="s">
        <v>104</v>
      </c>
      <c r="B50" s="8" t="s">
        <v>185</v>
      </c>
      <c r="C50" s="98"/>
    </row>
    <row r="51" spans="1:3" ht="12" customHeight="1" thickBot="1">
      <c r="A51" s="506" t="s">
        <v>152</v>
      </c>
      <c r="B51" s="8" t="s">
        <v>186</v>
      </c>
      <c r="C51" s="98"/>
    </row>
    <row r="52" spans="1:3" ht="12" customHeight="1" thickBot="1">
      <c r="A52" s="240" t="s">
        <v>20</v>
      </c>
      <c r="B52" s="151" t="s">
        <v>423</v>
      </c>
      <c r="C52" s="362">
        <f>SUM(C53:C55)</f>
        <v>0</v>
      </c>
    </row>
    <row r="53" spans="1:3" s="515" customFormat="1" ht="12" customHeight="1">
      <c r="A53" s="506" t="s">
        <v>107</v>
      </c>
      <c r="B53" s="9" t="s">
        <v>229</v>
      </c>
      <c r="C53" s="95"/>
    </row>
    <row r="54" spans="1:3" ht="12" customHeight="1">
      <c r="A54" s="506" t="s">
        <v>108</v>
      </c>
      <c r="B54" s="8" t="s">
        <v>188</v>
      </c>
      <c r="C54" s="98"/>
    </row>
    <row r="55" spans="1:3" ht="12" customHeight="1">
      <c r="A55" s="506" t="s">
        <v>109</v>
      </c>
      <c r="B55" s="8" t="s">
        <v>60</v>
      </c>
      <c r="C55" s="98"/>
    </row>
    <row r="56" spans="1:3" ht="12" customHeight="1" thickBot="1">
      <c r="A56" s="506" t="s">
        <v>110</v>
      </c>
      <c r="B56" s="8" t="s">
        <v>530</v>
      </c>
      <c r="C56" s="98"/>
    </row>
    <row r="57" spans="1:3" ht="15" customHeight="1" thickBot="1">
      <c r="A57" s="240" t="s">
        <v>21</v>
      </c>
      <c r="B57" s="151" t="s">
        <v>13</v>
      </c>
      <c r="C57" s="389"/>
    </row>
    <row r="58" spans="1:3" ht="13.5" thickBot="1">
      <c r="A58" s="240" t="s">
        <v>22</v>
      </c>
      <c r="B58" s="285" t="s">
        <v>537</v>
      </c>
      <c r="C58" s="415">
        <f>+C46+C52+C57</f>
        <v>68371000</v>
      </c>
    </row>
    <row r="59" ht="15" customHeight="1" thickBot="1">
      <c r="C59" s="416"/>
    </row>
    <row r="60" spans="1:3" ht="14.25" customHeight="1" thickBot="1">
      <c r="A60" s="288" t="s">
        <v>525</v>
      </c>
      <c r="B60" s="289"/>
      <c r="C60" s="148">
        <v>19</v>
      </c>
    </row>
    <row r="61" spans="1:3" ht="13.5" thickBot="1">
      <c r="A61" s="288" t="s">
        <v>207</v>
      </c>
      <c r="B61" s="289"/>
      <c r="C61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A49">
      <selection activeCell="C60" sqref="C60"/>
    </sheetView>
  </sheetViews>
  <sheetFormatPr defaultColWidth="9.00390625" defaultRowHeight="12.75"/>
  <cols>
    <col min="1" max="1" width="13.875" style="286" customWidth="1"/>
    <col min="2" max="2" width="79.125" style="287" customWidth="1"/>
    <col min="3" max="3" width="25.00390625" style="287" customWidth="1"/>
    <col min="4" max="16384" width="9.375" style="287" customWidth="1"/>
  </cols>
  <sheetData>
    <row r="1" spans="1:3" s="266" customFormat="1" ht="21" customHeight="1" thickBot="1">
      <c r="A1" s="265"/>
      <c r="B1" s="267"/>
      <c r="C1" s="510" t="str">
        <f>+CONCATENATE("9.2.2. melléklet a ……/",LEFT(ÖSSZEFÜGGÉSEK!A5,4),". (….) önkormányzati rendelethez")</f>
        <v>9.2.2. melléklet a ……/2016. (….) önkormányzati rendelethez</v>
      </c>
    </row>
    <row r="2" spans="1:3" s="511" customFormat="1" ht="25.5" customHeight="1">
      <c r="A2" s="461" t="s">
        <v>205</v>
      </c>
      <c r="B2" s="403" t="s">
        <v>576</v>
      </c>
      <c r="C2" s="417" t="s">
        <v>61</v>
      </c>
    </row>
    <row r="3" spans="1:3" s="511" customFormat="1" ht="24.75" thickBot="1">
      <c r="A3" s="504" t="s">
        <v>204</v>
      </c>
      <c r="B3" s="404" t="s">
        <v>425</v>
      </c>
      <c r="C3" s="418" t="s">
        <v>61</v>
      </c>
    </row>
    <row r="4" spans="1:3" s="512" customFormat="1" ht="15.75" customHeight="1" thickBot="1">
      <c r="A4" s="269"/>
      <c r="B4" s="269"/>
      <c r="C4" s="270" t="s">
        <v>583</v>
      </c>
    </row>
    <row r="5" spans="1:3" ht="13.5" thickBot="1">
      <c r="A5" s="462" t="s">
        <v>206</v>
      </c>
      <c r="B5" s="271" t="s">
        <v>572</v>
      </c>
      <c r="C5" s="272" t="s">
        <v>57</v>
      </c>
    </row>
    <row r="6" spans="1:3" s="513" customFormat="1" ht="12.75" customHeight="1" thickBot="1">
      <c r="A6" s="232"/>
      <c r="B6" s="233" t="s">
        <v>499</v>
      </c>
      <c r="C6" s="234" t="s">
        <v>500</v>
      </c>
    </row>
    <row r="7" spans="1:3" s="513" customFormat="1" ht="15.75" customHeight="1" thickBot="1">
      <c r="A7" s="273"/>
      <c r="B7" s="274" t="s">
        <v>58</v>
      </c>
      <c r="C7" s="275"/>
    </row>
    <row r="8" spans="1:3" s="419" customFormat="1" ht="12" customHeight="1" thickBot="1">
      <c r="A8" s="232" t="s">
        <v>19</v>
      </c>
      <c r="B8" s="276" t="s">
        <v>526</v>
      </c>
      <c r="C8" s="362">
        <f>SUM(C9:C19)</f>
        <v>0</v>
      </c>
    </row>
    <row r="9" spans="1:3" s="419" customFormat="1" ht="12" customHeight="1">
      <c r="A9" s="505" t="s">
        <v>101</v>
      </c>
      <c r="B9" s="10" t="s">
        <v>280</v>
      </c>
      <c r="C9" s="408"/>
    </row>
    <row r="10" spans="1:3" s="419" customFormat="1" ht="12" customHeight="1">
      <c r="A10" s="506" t="s">
        <v>102</v>
      </c>
      <c r="B10" s="8" t="s">
        <v>281</v>
      </c>
      <c r="C10" s="360"/>
    </row>
    <row r="11" spans="1:3" s="419" customFormat="1" ht="12" customHeight="1">
      <c r="A11" s="506" t="s">
        <v>103</v>
      </c>
      <c r="B11" s="8" t="s">
        <v>282</v>
      </c>
      <c r="C11" s="360"/>
    </row>
    <row r="12" spans="1:3" s="419" customFormat="1" ht="12" customHeight="1">
      <c r="A12" s="506" t="s">
        <v>104</v>
      </c>
      <c r="B12" s="8" t="s">
        <v>283</v>
      </c>
      <c r="C12" s="360"/>
    </row>
    <row r="13" spans="1:3" s="419" customFormat="1" ht="12" customHeight="1">
      <c r="A13" s="506" t="s">
        <v>152</v>
      </c>
      <c r="B13" s="8" t="s">
        <v>284</v>
      </c>
      <c r="C13" s="360"/>
    </row>
    <row r="14" spans="1:3" s="419" customFormat="1" ht="12" customHeight="1">
      <c r="A14" s="506" t="s">
        <v>105</v>
      </c>
      <c r="B14" s="8" t="s">
        <v>406</v>
      </c>
      <c r="C14" s="360"/>
    </row>
    <row r="15" spans="1:3" s="419" customFormat="1" ht="12" customHeight="1">
      <c r="A15" s="506" t="s">
        <v>106</v>
      </c>
      <c r="B15" s="7" t="s">
        <v>407</v>
      </c>
      <c r="C15" s="360"/>
    </row>
    <row r="16" spans="1:3" s="419" customFormat="1" ht="12" customHeight="1">
      <c r="A16" s="506" t="s">
        <v>116</v>
      </c>
      <c r="B16" s="8" t="s">
        <v>287</v>
      </c>
      <c r="C16" s="409"/>
    </row>
    <row r="17" spans="1:3" s="514" customFormat="1" ht="12" customHeight="1">
      <c r="A17" s="506" t="s">
        <v>117</v>
      </c>
      <c r="B17" s="8" t="s">
        <v>288</v>
      </c>
      <c r="C17" s="360"/>
    </row>
    <row r="18" spans="1:3" s="514" customFormat="1" ht="12" customHeight="1">
      <c r="A18" s="506" t="s">
        <v>118</v>
      </c>
      <c r="B18" s="8" t="s">
        <v>443</v>
      </c>
      <c r="C18" s="361"/>
    </row>
    <row r="19" spans="1:3" s="514" customFormat="1" ht="12" customHeight="1" thickBot="1">
      <c r="A19" s="506" t="s">
        <v>119</v>
      </c>
      <c r="B19" s="7" t="s">
        <v>289</v>
      </c>
      <c r="C19" s="361"/>
    </row>
    <row r="20" spans="1:3" s="419" customFormat="1" ht="12" customHeight="1" thickBot="1">
      <c r="A20" s="232" t="s">
        <v>20</v>
      </c>
      <c r="B20" s="276" t="s">
        <v>408</v>
      </c>
      <c r="C20" s="362">
        <f>SUM(C21:C23)</f>
        <v>0</v>
      </c>
    </row>
    <row r="21" spans="1:3" s="514" customFormat="1" ht="12" customHeight="1">
      <c r="A21" s="506" t="s">
        <v>107</v>
      </c>
      <c r="B21" s="9" t="s">
        <v>261</v>
      </c>
      <c r="C21" s="360"/>
    </row>
    <row r="22" spans="1:3" s="514" customFormat="1" ht="12" customHeight="1">
      <c r="A22" s="506" t="s">
        <v>108</v>
      </c>
      <c r="B22" s="8" t="s">
        <v>409</v>
      </c>
      <c r="C22" s="360"/>
    </row>
    <row r="23" spans="1:3" s="514" customFormat="1" ht="12" customHeight="1">
      <c r="A23" s="506" t="s">
        <v>109</v>
      </c>
      <c r="B23" s="8" t="s">
        <v>410</v>
      </c>
      <c r="C23" s="360"/>
    </row>
    <row r="24" spans="1:3" s="514" customFormat="1" ht="12" customHeight="1" thickBot="1">
      <c r="A24" s="506" t="s">
        <v>110</v>
      </c>
      <c r="B24" s="8" t="s">
        <v>527</v>
      </c>
      <c r="C24" s="360"/>
    </row>
    <row r="25" spans="1:3" s="514" customFormat="1" ht="12" customHeight="1" thickBot="1">
      <c r="A25" s="240" t="s">
        <v>21</v>
      </c>
      <c r="B25" s="151" t="s">
        <v>175</v>
      </c>
      <c r="C25" s="389"/>
    </row>
    <row r="26" spans="1:3" s="514" customFormat="1" ht="12" customHeight="1" thickBot="1">
      <c r="A26" s="240" t="s">
        <v>22</v>
      </c>
      <c r="B26" s="151" t="s">
        <v>528</v>
      </c>
      <c r="C26" s="362">
        <f>+C27+C28+C29</f>
        <v>0</v>
      </c>
    </row>
    <row r="27" spans="1:3" s="514" customFormat="1" ht="12" customHeight="1">
      <c r="A27" s="507" t="s">
        <v>271</v>
      </c>
      <c r="B27" s="508" t="s">
        <v>266</v>
      </c>
      <c r="C27" s="95"/>
    </row>
    <row r="28" spans="1:3" s="514" customFormat="1" ht="12" customHeight="1">
      <c r="A28" s="507" t="s">
        <v>272</v>
      </c>
      <c r="B28" s="508" t="s">
        <v>409</v>
      </c>
      <c r="C28" s="360"/>
    </row>
    <row r="29" spans="1:3" s="514" customFormat="1" ht="12" customHeight="1">
      <c r="A29" s="507" t="s">
        <v>273</v>
      </c>
      <c r="B29" s="509" t="s">
        <v>412</v>
      </c>
      <c r="C29" s="360"/>
    </row>
    <row r="30" spans="1:3" s="514" customFormat="1" ht="12" customHeight="1" thickBot="1">
      <c r="A30" s="506" t="s">
        <v>274</v>
      </c>
      <c r="B30" s="169" t="s">
        <v>529</v>
      </c>
      <c r="C30" s="102"/>
    </row>
    <row r="31" spans="1:3" s="514" customFormat="1" ht="12" customHeight="1" thickBot="1">
      <c r="A31" s="240" t="s">
        <v>23</v>
      </c>
      <c r="B31" s="151" t="s">
        <v>413</v>
      </c>
      <c r="C31" s="362">
        <f>+C32+C33+C34</f>
        <v>0</v>
      </c>
    </row>
    <row r="32" spans="1:3" s="514" customFormat="1" ht="12" customHeight="1">
      <c r="A32" s="507" t="s">
        <v>94</v>
      </c>
      <c r="B32" s="508" t="s">
        <v>294</v>
      </c>
      <c r="C32" s="95"/>
    </row>
    <row r="33" spans="1:3" s="514" customFormat="1" ht="12" customHeight="1">
      <c r="A33" s="507" t="s">
        <v>95</v>
      </c>
      <c r="B33" s="509" t="s">
        <v>295</v>
      </c>
      <c r="C33" s="363"/>
    </row>
    <row r="34" spans="1:3" s="514" customFormat="1" ht="12" customHeight="1" thickBot="1">
      <c r="A34" s="506" t="s">
        <v>96</v>
      </c>
      <c r="B34" s="169" t="s">
        <v>296</v>
      </c>
      <c r="C34" s="102"/>
    </row>
    <row r="35" spans="1:3" s="419" customFormat="1" ht="12" customHeight="1" thickBot="1">
      <c r="A35" s="240" t="s">
        <v>24</v>
      </c>
      <c r="B35" s="151" t="s">
        <v>382</v>
      </c>
      <c r="C35" s="389"/>
    </row>
    <row r="36" spans="1:3" s="419" customFormat="1" ht="12" customHeight="1" thickBot="1">
      <c r="A36" s="240" t="s">
        <v>25</v>
      </c>
      <c r="B36" s="151" t="s">
        <v>414</v>
      </c>
      <c r="C36" s="410"/>
    </row>
    <row r="37" spans="1:3" s="419" customFormat="1" ht="12" customHeight="1" thickBot="1">
      <c r="A37" s="232" t="s">
        <v>26</v>
      </c>
      <c r="B37" s="151" t="s">
        <v>415</v>
      </c>
      <c r="C37" s="411">
        <f>+C8+C20+C25+C26+C31+C35+C36</f>
        <v>0</v>
      </c>
    </row>
    <row r="38" spans="1:3" s="419" customFormat="1" ht="12" customHeight="1" thickBot="1">
      <c r="A38" s="277" t="s">
        <v>27</v>
      </c>
      <c r="B38" s="151" t="s">
        <v>416</v>
      </c>
      <c r="C38" s="411">
        <f>+C39+C40+C41</f>
        <v>0</v>
      </c>
    </row>
    <row r="39" spans="1:3" s="419" customFormat="1" ht="12" customHeight="1">
      <c r="A39" s="507" t="s">
        <v>417</v>
      </c>
      <c r="B39" s="508" t="s">
        <v>239</v>
      </c>
      <c r="C39" s="95"/>
    </row>
    <row r="40" spans="1:3" s="419" customFormat="1" ht="12" customHeight="1">
      <c r="A40" s="507" t="s">
        <v>418</v>
      </c>
      <c r="B40" s="509" t="s">
        <v>2</v>
      </c>
      <c r="C40" s="363"/>
    </row>
    <row r="41" spans="1:3" s="514" customFormat="1" ht="12" customHeight="1" thickBot="1">
      <c r="A41" s="506" t="s">
        <v>419</v>
      </c>
      <c r="B41" s="169" t="s">
        <v>420</v>
      </c>
      <c r="C41" s="102"/>
    </row>
    <row r="42" spans="1:3" s="514" customFormat="1" ht="15" customHeight="1" thickBot="1">
      <c r="A42" s="277" t="s">
        <v>28</v>
      </c>
      <c r="B42" s="278" t="s">
        <v>421</v>
      </c>
      <c r="C42" s="414">
        <f>+C37+C38</f>
        <v>0</v>
      </c>
    </row>
    <row r="43" spans="1:3" s="514" customFormat="1" ht="15" customHeight="1">
      <c r="A43" s="279"/>
      <c r="B43" s="280"/>
      <c r="C43" s="412"/>
    </row>
    <row r="44" spans="1:3" ht="13.5" thickBot="1">
      <c r="A44" s="281"/>
      <c r="B44" s="282"/>
      <c r="C44" s="413"/>
    </row>
    <row r="45" spans="1:3" s="513" customFormat="1" ht="16.5" customHeight="1" thickBot="1">
      <c r="A45" s="283"/>
      <c r="B45" s="284" t="s">
        <v>59</v>
      </c>
      <c r="C45" s="414"/>
    </row>
    <row r="46" spans="1:3" s="515" customFormat="1" ht="12" customHeight="1" thickBot="1">
      <c r="A46" s="240" t="s">
        <v>19</v>
      </c>
      <c r="B46" s="151" t="s">
        <v>422</v>
      </c>
      <c r="C46" s="362">
        <f>SUM(C47:C51)</f>
        <v>0</v>
      </c>
    </row>
    <row r="47" spans="1:3" ht="12" customHeight="1">
      <c r="A47" s="506" t="s">
        <v>101</v>
      </c>
      <c r="B47" s="9" t="s">
        <v>50</v>
      </c>
      <c r="C47" s="95"/>
    </row>
    <row r="48" spans="1:3" ht="12" customHeight="1">
      <c r="A48" s="506" t="s">
        <v>102</v>
      </c>
      <c r="B48" s="8" t="s">
        <v>184</v>
      </c>
      <c r="C48" s="98"/>
    </row>
    <row r="49" spans="1:3" ht="12" customHeight="1">
      <c r="A49" s="506" t="s">
        <v>103</v>
      </c>
      <c r="B49" s="8" t="s">
        <v>144</v>
      </c>
      <c r="C49" s="98"/>
    </row>
    <row r="50" spans="1:3" ht="12" customHeight="1">
      <c r="A50" s="506" t="s">
        <v>104</v>
      </c>
      <c r="B50" s="8" t="s">
        <v>185</v>
      </c>
      <c r="C50" s="98"/>
    </row>
    <row r="51" spans="1:3" ht="12" customHeight="1" thickBot="1">
      <c r="A51" s="506" t="s">
        <v>152</v>
      </c>
      <c r="B51" s="8" t="s">
        <v>186</v>
      </c>
      <c r="C51" s="98"/>
    </row>
    <row r="52" spans="1:3" ht="12" customHeight="1" thickBot="1">
      <c r="A52" s="240" t="s">
        <v>20</v>
      </c>
      <c r="B52" s="151" t="s">
        <v>423</v>
      </c>
      <c r="C52" s="362">
        <f>SUM(C53:C55)</f>
        <v>0</v>
      </c>
    </row>
    <row r="53" spans="1:3" s="515" customFormat="1" ht="12" customHeight="1">
      <c r="A53" s="506" t="s">
        <v>107</v>
      </c>
      <c r="B53" s="9" t="s">
        <v>229</v>
      </c>
      <c r="C53" s="95"/>
    </row>
    <row r="54" spans="1:3" ht="12" customHeight="1">
      <c r="A54" s="506" t="s">
        <v>108</v>
      </c>
      <c r="B54" s="8" t="s">
        <v>188</v>
      </c>
      <c r="C54" s="98"/>
    </row>
    <row r="55" spans="1:3" ht="12" customHeight="1">
      <c r="A55" s="506" t="s">
        <v>109</v>
      </c>
      <c r="B55" s="8" t="s">
        <v>60</v>
      </c>
      <c r="C55" s="98"/>
    </row>
    <row r="56" spans="1:3" ht="12" customHeight="1" thickBot="1">
      <c r="A56" s="506" t="s">
        <v>110</v>
      </c>
      <c r="B56" s="8" t="s">
        <v>530</v>
      </c>
      <c r="C56" s="98"/>
    </row>
    <row r="57" spans="1:3" ht="15" customHeight="1" thickBot="1">
      <c r="A57" s="240" t="s">
        <v>21</v>
      </c>
      <c r="B57" s="151" t="s">
        <v>13</v>
      </c>
      <c r="C57" s="389"/>
    </row>
    <row r="58" spans="1:3" ht="13.5" thickBot="1">
      <c r="A58" s="240" t="s">
        <v>22</v>
      </c>
      <c r="B58" s="285" t="s">
        <v>537</v>
      </c>
      <c r="C58" s="415">
        <f>+C46+C52+C57</f>
        <v>0</v>
      </c>
    </row>
    <row r="59" ht="15" customHeight="1" thickBot="1">
      <c r="C59" s="416"/>
    </row>
    <row r="60" spans="1:3" ht="14.25" customHeight="1" thickBot="1">
      <c r="A60" s="288" t="s">
        <v>525</v>
      </c>
      <c r="B60" s="289"/>
      <c r="C60" s="148"/>
    </row>
    <row r="61" spans="1:3" ht="13.5" thickBot="1">
      <c r="A61" s="288" t="s">
        <v>207</v>
      </c>
      <c r="B61" s="289"/>
      <c r="C61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A46">
      <selection activeCell="C42" sqref="C42"/>
    </sheetView>
  </sheetViews>
  <sheetFormatPr defaultColWidth="9.00390625" defaultRowHeight="12.75"/>
  <cols>
    <col min="1" max="1" width="13.875" style="286" customWidth="1"/>
    <col min="2" max="2" width="79.125" style="287" customWidth="1"/>
    <col min="3" max="3" width="25.00390625" style="287" customWidth="1"/>
    <col min="4" max="16384" width="9.375" style="287" customWidth="1"/>
  </cols>
  <sheetData>
    <row r="1" spans="1:3" s="266" customFormat="1" ht="21" customHeight="1" thickBot="1">
      <c r="A1" s="265"/>
      <c r="B1" s="267"/>
      <c r="C1" s="510" t="str">
        <f>+CONCATENATE("9.2.3. melléklet a ……/",LEFT(ÖSSZEFÜGGÉSEK!A5,4),". (….) önkormányzati rendelethez")</f>
        <v>9.2.3. melléklet a ……/2016. (….) önkormányzati rendelethez</v>
      </c>
    </row>
    <row r="2" spans="1:3" s="511" customFormat="1" ht="25.5" customHeight="1">
      <c r="A2" s="461" t="s">
        <v>205</v>
      </c>
      <c r="B2" s="403" t="s">
        <v>576</v>
      </c>
      <c r="C2" s="417" t="s">
        <v>61</v>
      </c>
    </row>
    <row r="3" spans="1:3" s="511" customFormat="1" ht="24.75" thickBot="1">
      <c r="A3" s="504" t="s">
        <v>204</v>
      </c>
      <c r="B3" s="404" t="s">
        <v>538</v>
      </c>
      <c r="C3" s="418" t="s">
        <v>62</v>
      </c>
    </row>
    <row r="4" spans="1:3" s="512" customFormat="1" ht="15.75" customHeight="1" thickBot="1">
      <c r="A4" s="269"/>
      <c r="B4" s="269"/>
      <c r="C4" s="270" t="s">
        <v>583</v>
      </c>
    </row>
    <row r="5" spans="1:3" ht="13.5" thickBot="1">
      <c r="A5" s="462" t="s">
        <v>206</v>
      </c>
      <c r="B5" s="271" t="s">
        <v>572</v>
      </c>
      <c r="C5" s="272" t="s">
        <v>57</v>
      </c>
    </row>
    <row r="6" spans="1:3" s="513" customFormat="1" ht="12.75" customHeight="1" thickBot="1">
      <c r="A6" s="232"/>
      <c r="B6" s="233" t="s">
        <v>499</v>
      </c>
      <c r="C6" s="234" t="s">
        <v>500</v>
      </c>
    </row>
    <row r="7" spans="1:3" s="513" customFormat="1" ht="15.75" customHeight="1" thickBot="1">
      <c r="A7" s="273"/>
      <c r="B7" s="274" t="s">
        <v>58</v>
      </c>
      <c r="C7" s="275"/>
    </row>
    <row r="8" spans="1:3" s="419" customFormat="1" ht="12" customHeight="1" thickBot="1">
      <c r="A8" s="232" t="s">
        <v>19</v>
      </c>
      <c r="B8" s="276" t="s">
        <v>526</v>
      </c>
      <c r="C8" s="362">
        <f>SUM(C9:C19)</f>
        <v>0</v>
      </c>
    </row>
    <row r="9" spans="1:3" s="419" customFormat="1" ht="12" customHeight="1">
      <c r="A9" s="505" t="s">
        <v>101</v>
      </c>
      <c r="B9" s="10" t="s">
        <v>280</v>
      </c>
      <c r="C9" s="408"/>
    </row>
    <row r="10" spans="1:3" s="419" customFormat="1" ht="12" customHeight="1">
      <c r="A10" s="506" t="s">
        <v>102</v>
      </c>
      <c r="B10" s="8" t="s">
        <v>281</v>
      </c>
      <c r="C10" s="360"/>
    </row>
    <row r="11" spans="1:3" s="419" customFormat="1" ht="12" customHeight="1">
      <c r="A11" s="506" t="s">
        <v>103</v>
      </c>
      <c r="B11" s="8" t="s">
        <v>282</v>
      </c>
      <c r="C11" s="360"/>
    </row>
    <row r="12" spans="1:3" s="419" customFormat="1" ht="12" customHeight="1">
      <c r="A12" s="506" t="s">
        <v>104</v>
      </c>
      <c r="B12" s="8" t="s">
        <v>283</v>
      </c>
      <c r="C12" s="360"/>
    </row>
    <row r="13" spans="1:3" s="419" customFormat="1" ht="12" customHeight="1">
      <c r="A13" s="506" t="s">
        <v>152</v>
      </c>
      <c r="B13" s="8" t="s">
        <v>284</v>
      </c>
      <c r="C13" s="360"/>
    </row>
    <row r="14" spans="1:3" s="419" customFormat="1" ht="12" customHeight="1">
      <c r="A14" s="506" t="s">
        <v>105</v>
      </c>
      <c r="B14" s="8" t="s">
        <v>406</v>
      </c>
      <c r="C14" s="360"/>
    </row>
    <row r="15" spans="1:3" s="419" customFormat="1" ht="12" customHeight="1">
      <c r="A15" s="506" t="s">
        <v>106</v>
      </c>
      <c r="B15" s="7" t="s">
        <v>407</v>
      </c>
      <c r="C15" s="360"/>
    </row>
    <row r="16" spans="1:3" s="419" customFormat="1" ht="12" customHeight="1">
      <c r="A16" s="506" t="s">
        <v>116</v>
      </c>
      <c r="B16" s="8" t="s">
        <v>287</v>
      </c>
      <c r="C16" s="409"/>
    </row>
    <row r="17" spans="1:3" s="514" customFormat="1" ht="12" customHeight="1">
      <c r="A17" s="506" t="s">
        <v>117</v>
      </c>
      <c r="B17" s="8" t="s">
        <v>288</v>
      </c>
      <c r="C17" s="360"/>
    </row>
    <row r="18" spans="1:3" s="514" customFormat="1" ht="12" customHeight="1">
      <c r="A18" s="506" t="s">
        <v>118</v>
      </c>
      <c r="B18" s="8" t="s">
        <v>443</v>
      </c>
      <c r="C18" s="361"/>
    </row>
    <row r="19" spans="1:3" s="514" customFormat="1" ht="12" customHeight="1" thickBot="1">
      <c r="A19" s="506" t="s">
        <v>119</v>
      </c>
      <c r="B19" s="7" t="s">
        <v>289</v>
      </c>
      <c r="C19" s="361"/>
    </row>
    <row r="20" spans="1:3" s="419" customFormat="1" ht="12" customHeight="1" thickBot="1">
      <c r="A20" s="232" t="s">
        <v>20</v>
      </c>
      <c r="B20" s="276" t="s">
        <v>408</v>
      </c>
      <c r="C20" s="362">
        <f>SUM(C21:C23)</f>
        <v>0</v>
      </c>
    </row>
    <row r="21" spans="1:3" s="514" customFormat="1" ht="12" customHeight="1">
      <c r="A21" s="506" t="s">
        <v>107</v>
      </c>
      <c r="B21" s="9" t="s">
        <v>261</v>
      </c>
      <c r="C21" s="360"/>
    </row>
    <row r="22" spans="1:3" s="514" customFormat="1" ht="12" customHeight="1">
      <c r="A22" s="506" t="s">
        <v>108</v>
      </c>
      <c r="B22" s="8" t="s">
        <v>409</v>
      </c>
      <c r="C22" s="360"/>
    </row>
    <row r="23" spans="1:3" s="514" customFormat="1" ht="12" customHeight="1">
      <c r="A23" s="506" t="s">
        <v>109</v>
      </c>
      <c r="B23" s="8" t="s">
        <v>410</v>
      </c>
      <c r="C23" s="360"/>
    </row>
    <row r="24" spans="1:3" s="514" customFormat="1" ht="12" customHeight="1" thickBot="1">
      <c r="A24" s="506" t="s">
        <v>110</v>
      </c>
      <c r="B24" s="8" t="s">
        <v>527</v>
      </c>
      <c r="C24" s="360"/>
    </row>
    <row r="25" spans="1:3" s="514" customFormat="1" ht="12" customHeight="1" thickBot="1">
      <c r="A25" s="240" t="s">
        <v>21</v>
      </c>
      <c r="B25" s="151" t="s">
        <v>175</v>
      </c>
      <c r="C25" s="389"/>
    </row>
    <row r="26" spans="1:3" s="514" customFormat="1" ht="12" customHeight="1" thickBot="1">
      <c r="A26" s="240" t="s">
        <v>22</v>
      </c>
      <c r="B26" s="151" t="s">
        <v>528</v>
      </c>
      <c r="C26" s="362">
        <f>+C27+C28+C29</f>
        <v>0</v>
      </c>
    </row>
    <row r="27" spans="1:3" s="514" customFormat="1" ht="12" customHeight="1">
      <c r="A27" s="507" t="s">
        <v>271</v>
      </c>
      <c r="B27" s="508" t="s">
        <v>266</v>
      </c>
      <c r="C27" s="95"/>
    </row>
    <row r="28" spans="1:3" s="514" customFormat="1" ht="12" customHeight="1">
      <c r="A28" s="507" t="s">
        <v>272</v>
      </c>
      <c r="B28" s="508" t="s">
        <v>409</v>
      </c>
      <c r="C28" s="360"/>
    </row>
    <row r="29" spans="1:3" s="514" customFormat="1" ht="12" customHeight="1">
      <c r="A29" s="507" t="s">
        <v>273</v>
      </c>
      <c r="B29" s="509" t="s">
        <v>412</v>
      </c>
      <c r="C29" s="360"/>
    </row>
    <row r="30" spans="1:3" s="514" customFormat="1" ht="12" customHeight="1" thickBot="1">
      <c r="A30" s="506" t="s">
        <v>274</v>
      </c>
      <c r="B30" s="169" t="s">
        <v>529</v>
      </c>
      <c r="C30" s="102"/>
    </row>
    <row r="31" spans="1:3" s="514" customFormat="1" ht="12" customHeight="1" thickBot="1">
      <c r="A31" s="240" t="s">
        <v>23</v>
      </c>
      <c r="B31" s="151" t="s">
        <v>413</v>
      </c>
      <c r="C31" s="362">
        <f>+C32+C33+C34</f>
        <v>0</v>
      </c>
    </row>
    <row r="32" spans="1:3" s="514" customFormat="1" ht="12" customHeight="1">
      <c r="A32" s="507" t="s">
        <v>94</v>
      </c>
      <c r="B32" s="508" t="s">
        <v>294</v>
      </c>
      <c r="C32" s="95"/>
    </row>
    <row r="33" spans="1:3" s="514" customFormat="1" ht="12" customHeight="1">
      <c r="A33" s="507" t="s">
        <v>95</v>
      </c>
      <c r="B33" s="509" t="s">
        <v>295</v>
      </c>
      <c r="C33" s="363"/>
    </row>
    <row r="34" spans="1:3" s="514" customFormat="1" ht="12" customHeight="1" thickBot="1">
      <c r="A34" s="506" t="s">
        <v>96</v>
      </c>
      <c r="B34" s="169" t="s">
        <v>296</v>
      </c>
      <c r="C34" s="102"/>
    </row>
    <row r="35" spans="1:3" s="419" customFormat="1" ht="12" customHeight="1" thickBot="1">
      <c r="A35" s="240" t="s">
        <v>24</v>
      </c>
      <c r="B35" s="151" t="s">
        <v>382</v>
      </c>
      <c r="C35" s="389"/>
    </row>
    <row r="36" spans="1:3" s="419" customFormat="1" ht="12" customHeight="1" thickBot="1">
      <c r="A36" s="240" t="s">
        <v>25</v>
      </c>
      <c r="B36" s="151" t="s">
        <v>414</v>
      </c>
      <c r="C36" s="410"/>
    </row>
    <row r="37" spans="1:3" s="419" customFormat="1" ht="12" customHeight="1" thickBot="1">
      <c r="A37" s="232" t="s">
        <v>26</v>
      </c>
      <c r="B37" s="151" t="s">
        <v>415</v>
      </c>
      <c r="C37" s="411">
        <f>+C8+C20+C25+C26+C31+C35+C36</f>
        <v>0</v>
      </c>
    </row>
    <row r="38" spans="1:3" s="419" customFormat="1" ht="12" customHeight="1" thickBot="1">
      <c r="A38" s="277" t="s">
        <v>27</v>
      </c>
      <c r="B38" s="151" t="s">
        <v>416</v>
      </c>
      <c r="C38" s="411">
        <f>+C39+C40+C41</f>
        <v>18669000</v>
      </c>
    </row>
    <row r="39" spans="1:3" s="419" customFormat="1" ht="12" customHeight="1">
      <c r="A39" s="507" t="s">
        <v>417</v>
      </c>
      <c r="B39" s="508" t="s">
        <v>239</v>
      </c>
      <c r="C39" s="95"/>
    </row>
    <row r="40" spans="1:3" s="419" customFormat="1" ht="12" customHeight="1">
      <c r="A40" s="507" t="s">
        <v>418</v>
      </c>
      <c r="B40" s="509" t="s">
        <v>2</v>
      </c>
      <c r="C40" s="363"/>
    </row>
    <row r="41" spans="1:3" s="514" customFormat="1" ht="12" customHeight="1" thickBot="1">
      <c r="A41" s="506" t="s">
        <v>419</v>
      </c>
      <c r="B41" s="169" t="s">
        <v>420</v>
      </c>
      <c r="C41" s="102">
        <f>C58-C37</f>
        <v>18669000</v>
      </c>
    </row>
    <row r="42" spans="1:3" s="514" customFormat="1" ht="15" customHeight="1" thickBot="1">
      <c r="A42" s="277" t="s">
        <v>28</v>
      </c>
      <c r="B42" s="278" t="s">
        <v>421</v>
      </c>
      <c r="C42" s="414">
        <f>+C37+C38</f>
        <v>18669000</v>
      </c>
    </row>
    <row r="43" spans="1:3" s="514" customFormat="1" ht="15" customHeight="1">
      <c r="A43" s="279"/>
      <c r="B43" s="280"/>
      <c r="C43" s="412"/>
    </row>
    <row r="44" spans="1:3" ht="13.5" thickBot="1">
      <c r="A44" s="281"/>
      <c r="B44" s="282"/>
      <c r="C44" s="413"/>
    </row>
    <row r="45" spans="1:3" s="513" customFormat="1" ht="16.5" customHeight="1" thickBot="1">
      <c r="A45" s="283"/>
      <c r="B45" s="284" t="s">
        <v>59</v>
      </c>
      <c r="C45" s="414"/>
    </row>
    <row r="46" spans="1:3" s="515" customFormat="1" ht="12" customHeight="1" thickBot="1">
      <c r="A46" s="240" t="s">
        <v>19</v>
      </c>
      <c r="B46" s="151" t="s">
        <v>422</v>
      </c>
      <c r="C46" s="362">
        <f>SUM(C47:C51)</f>
        <v>18669000</v>
      </c>
    </row>
    <row r="47" spans="1:3" ht="12" customHeight="1">
      <c r="A47" s="506" t="s">
        <v>101</v>
      </c>
      <c r="B47" s="9" t="s">
        <v>50</v>
      </c>
      <c r="C47" s="95">
        <v>14257000</v>
      </c>
    </row>
    <row r="48" spans="1:3" ht="12" customHeight="1">
      <c r="A48" s="506" t="s">
        <v>102</v>
      </c>
      <c r="B48" s="8" t="s">
        <v>184</v>
      </c>
      <c r="C48" s="98">
        <v>3912000</v>
      </c>
    </row>
    <row r="49" spans="1:3" ht="12" customHeight="1">
      <c r="A49" s="506" t="s">
        <v>103</v>
      </c>
      <c r="B49" s="8" t="s">
        <v>144</v>
      </c>
      <c r="C49" s="98">
        <v>500000</v>
      </c>
    </row>
    <row r="50" spans="1:3" ht="12" customHeight="1">
      <c r="A50" s="506" t="s">
        <v>104</v>
      </c>
      <c r="B50" s="8" t="s">
        <v>185</v>
      </c>
      <c r="C50" s="98"/>
    </row>
    <row r="51" spans="1:3" ht="12" customHeight="1" thickBot="1">
      <c r="A51" s="506" t="s">
        <v>152</v>
      </c>
      <c r="B51" s="8" t="s">
        <v>186</v>
      </c>
      <c r="C51" s="98"/>
    </row>
    <row r="52" spans="1:3" ht="12" customHeight="1" thickBot="1">
      <c r="A52" s="240" t="s">
        <v>20</v>
      </c>
      <c r="B52" s="151" t="s">
        <v>423</v>
      </c>
      <c r="C52" s="362">
        <f>SUM(C53:C55)</f>
        <v>0</v>
      </c>
    </row>
    <row r="53" spans="1:3" s="515" customFormat="1" ht="12" customHeight="1">
      <c r="A53" s="506" t="s">
        <v>107</v>
      </c>
      <c r="B53" s="9" t="s">
        <v>229</v>
      </c>
      <c r="C53" s="95"/>
    </row>
    <row r="54" spans="1:3" ht="12" customHeight="1">
      <c r="A54" s="506" t="s">
        <v>108</v>
      </c>
      <c r="B54" s="8" t="s">
        <v>188</v>
      </c>
      <c r="C54" s="98"/>
    </row>
    <row r="55" spans="1:3" ht="12" customHeight="1">
      <c r="A55" s="506" t="s">
        <v>109</v>
      </c>
      <c r="B55" s="8" t="s">
        <v>60</v>
      </c>
      <c r="C55" s="98"/>
    </row>
    <row r="56" spans="1:3" ht="12" customHeight="1" thickBot="1">
      <c r="A56" s="506" t="s">
        <v>110</v>
      </c>
      <c r="B56" s="8" t="s">
        <v>530</v>
      </c>
      <c r="C56" s="98"/>
    </row>
    <row r="57" spans="1:3" ht="15" customHeight="1" thickBot="1">
      <c r="A57" s="240" t="s">
        <v>21</v>
      </c>
      <c r="B57" s="151" t="s">
        <v>13</v>
      </c>
      <c r="C57" s="389"/>
    </row>
    <row r="58" spans="1:3" ht="13.5" thickBot="1">
      <c r="A58" s="240" t="s">
        <v>22</v>
      </c>
      <c r="B58" s="285" t="s">
        <v>537</v>
      </c>
      <c r="C58" s="415">
        <f>+C46+C52+C57</f>
        <v>18669000</v>
      </c>
    </row>
    <row r="59" ht="15" customHeight="1" thickBot="1">
      <c r="C59" s="416"/>
    </row>
    <row r="60" spans="1:3" ht="14.25" customHeight="1" thickBot="1">
      <c r="A60" s="288" t="s">
        <v>525</v>
      </c>
      <c r="B60" s="289"/>
      <c r="C60" s="148">
        <v>5</v>
      </c>
    </row>
    <row r="61" spans="1:3" ht="13.5" thickBot="1">
      <c r="A61" s="288" t="s">
        <v>207</v>
      </c>
      <c r="B61" s="289"/>
      <c r="C61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7">
      <selection activeCell="C5" sqref="C5"/>
    </sheetView>
  </sheetViews>
  <sheetFormatPr defaultColWidth="9.00390625" defaultRowHeight="12.75"/>
  <cols>
    <col min="1" max="1" width="13.875" style="286" customWidth="1"/>
    <col min="2" max="2" width="79.125" style="287" customWidth="1"/>
    <col min="3" max="3" width="25.00390625" style="287" customWidth="1"/>
    <col min="4" max="16384" width="9.375" style="287" customWidth="1"/>
  </cols>
  <sheetData>
    <row r="1" spans="1:3" s="266" customFormat="1" ht="21" customHeight="1" thickBot="1">
      <c r="A1" s="265"/>
      <c r="B1" s="267"/>
      <c r="C1" s="510" t="str">
        <f>+CONCATENATE("9.3. melléklet a ……/",LEFT(ÖSSZEFÜGGÉSEK!A5,4),". (….) önkormányzati rendelethez")</f>
        <v>9.3. melléklet a ……/2016. (….) önkormányzati rendelethez</v>
      </c>
    </row>
    <row r="2" spans="1:3" s="511" customFormat="1" ht="25.5" customHeight="1">
      <c r="A2" s="461" t="s">
        <v>205</v>
      </c>
      <c r="B2" s="403" t="s">
        <v>579</v>
      </c>
      <c r="C2" s="417" t="s">
        <v>62</v>
      </c>
    </row>
    <row r="3" spans="1:3" s="511" customFormat="1" ht="24.75" thickBot="1">
      <c r="A3" s="504" t="s">
        <v>204</v>
      </c>
      <c r="B3" s="404" t="s">
        <v>405</v>
      </c>
      <c r="C3" s="418"/>
    </row>
    <row r="4" spans="1:3" s="512" customFormat="1" ht="15.75" customHeight="1" thickBot="1">
      <c r="A4" s="269"/>
      <c r="B4" s="269"/>
      <c r="C4" s="270" t="s">
        <v>583</v>
      </c>
    </row>
    <row r="5" spans="1:3" ht="13.5" thickBot="1">
      <c r="A5" s="462" t="s">
        <v>206</v>
      </c>
      <c r="B5" s="271" t="s">
        <v>572</v>
      </c>
      <c r="C5" s="272" t="s">
        <v>57</v>
      </c>
    </row>
    <row r="6" spans="1:3" s="513" customFormat="1" ht="12.75" customHeight="1" thickBot="1">
      <c r="A6" s="232"/>
      <c r="B6" s="233" t="s">
        <v>499</v>
      </c>
      <c r="C6" s="234" t="s">
        <v>500</v>
      </c>
    </row>
    <row r="7" spans="1:3" s="513" customFormat="1" ht="15.75" customHeight="1" thickBot="1">
      <c r="A7" s="273"/>
      <c r="B7" s="274" t="s">
        <v>58</v>
      </c>
      <c r="C7" s="275"/>
    </row>
    <row r="8" spans="1:3" s="419" customFormat="1" ht="12" customHeight="1" thickBot="1">
      <c r="A8" s="232" t="s">
        <v>19</v>
      </c>
      <c r="B8" s="276" t="s">
        <v>526</v>
      </c>
      <c r="C8" s="362">
        <f>SUM(C9:C19)</f>
        <v>51273000</v>
      </c>
    </row>
    <row r="9" spans="1:3" s="419" customFormat="1" ht="12" customHeight="1">
      <c r="A9" s="505" t="s">
        <v>101</v>
      </c>
      <c r="B9" s="10" t="s">
        <v>280</v>
      </c>
      <c r="C9" s="408">
        <f>'9.3.1. sz. mell GAM'!C9+'9.3.2. sz. mell GAM'!C9+'9.3.3. sz. mell GAM'!C9</f>
        <v>0</v>
      </c>
    </row>
    <row r="10" spans="1:3" s="419" customFormat="1" ht="12" customHeight="1">
      <c r="A10" s="506" t="s">
        <v>102</v>
      </c>
      <c r="B10" s="8" t="s">
        <v>281</v>
      </c>
      <c r="C10" s="360">
        <f>'9.3.1. sz. mell GAM'!C10+'9.3.2. sz. mell GAM'!C10+'9.3.3. sz. mell GAM'!C10</f>
        <v>35558000</v>
      </c>
    </row>
    <row r="11" spans="1:3" s="419" customFormat="1" ht="12" customHeight="1">
      <c r="A11" s="506" t="s">
        <v>103</v>
      </c>
      <c r="B11" s="8" t="s">
        <v>282</v>
      </c>
      <c r="C11" s="360">
        <f>'9.3.1. sz. mell GAM'!C11+'9.3.2. sz. mell GAM'!C11+'9.3.3. sz. mell GAM'!C11</f>
        <v>525000</v>
      </c>
    </row>
    <row r="12" spans="1:3" s="419" customFormat="1" ht="12" customHeight="1">
      <c r="A12" s="506" t="s">
        <v>104</v>
      </c>
      <c r="B12" s="8" t="s">
        <v>283</v>
      </c>
      <c r="C12" s="360">
        <f>'9.3.1. sz. mell GAM'!C12+'9.3.2. sz. mell GAM'!C12+'9.3.3. sz. mell GAM'!C12</f>
        <v>0</v>
      </c>
    </row>
    <row r="13" spans="1:3" s="419" customFormat="1" ht="12" customHeight="1">
      <c r="A13" s="506" t="s">
        <v>152</v>
      </c>
      <c r="B13" s="8" t="s">
        <v>284</v>
      </c>
      <c r="C13" s="360">
        <f>'9.3.1. sz. mell GAM'!C13+'9.3.2. sz. mell GAM'!C13+'9.3.3. sz. mell GAM'!C13</f>
        <v>4868000</v>
      </c>
    </row>
    <row r="14" spans="1:3" s="419" customFormat="1" ht="12" customHeight="1">
      <c r="A14" s="506" t="s">
        <v>105</v>
      </c>
      <c r="B14" s="8" t="s">
        <v>406</v>
      </c>
      <c r="C14" s="360">
        <f>'9.3.1. sz. mell GAM'!C14+'9.3.2. sz. mell GAM'!C14+'9.3.3. sz. mell GAM'!C14</f>
        <v>10322000</v>
      </c>
    </row>
    <row r="15" spans="1:3" s="419" customFormat="1" ht="12" customHeight="1">
      <c r="A15" s="506" t="s">
        <v>106</v>
      </c>
      <c r="B15" s="7" t="s">
        <v>407</v>
      </c>
      <c r="C15" s="360">
        <f>'9.3.1. sz. mell GAM'!C15+'9.3.2. sz. mell GAM'!C15+'9.3.3. sz. mell GAM'!C15</f>
        <v>0</v>
      </c>
    </row>
    <row r="16" spans="1:3" s="419" customFormat="1" ht="12" customHeight="1">
      <c r="A16" s="506" t="s">
        <v>116</v>
      </c>
      <c r="B16" s="8" t="s">
        <v>287</v>
      </c>
      <c r="C16" s="360">
        <f>'9.3.1. sz. mell GAM'!C16+'9.3.2. sz. mell GAM'!C16+'9.3.3. sz. mell GAM'!C16</f>
        <v>0</v>
      </c>
    </row>
    <row r="17" spans="1:3" s="514" customFormat="1" ht="12" customHeight="1">
      <c r="A17" s="506" t="s">
        <v>117</v>
      </c>
      <c r="B17" s="8" t="s">
        <v>288</v>
      </c>
      <c r="C17" s="360">
        <f>'9.3.1. sz. mell GAM'!C17+'9.3.2. sz. mell GAM'!C17+'9.3.3. sz. mell GAM'!C17</f>
        <v>0</v>
      </c>
    </row>
    <row r="18" spans="1:3" s="514" customFormat="1" ht="12" customHeight="1">
      <c r="A18" s="506" t="s">
        <v>118</v>
      </c>
      <c r="B18" s="8" t="s">
        <v>443</v>
      </c>
      <c r="C18" s="360">
        <f>'9.3.1. sz. mell GAM'!C18+'9.3.2. sz. mell GAM'!C18+'9.3.3. sz. mell GAM'!C18</f>
        <v>0</v>
      </c>
    </row>
    <row r="19" spans="1:3" s="514" customFormat="1" ht="12" customHeight="1" thickBot="1">
      <c r="A19" s="506" t="s">
        <v>119</v>
      </c>
      <c r="B19" s="7" t="s">
        <v>289</v>
      </c>
      <c r="C19" s="359">
        <f>'9.3.1. sz. mell GAM'!C19+'9.3.2. sz. mell GAM'!C19+'9.3.3. sz. mell GAM'!C19</f>
        <v>0</v>
      </c>
    </row>
    <row r="20" spans="1:3" s="419" customFormat="1" ht="12" customHeight="1" thickBot="1">
      <c r="A20" s="232" t="s">
        <v>20</v>
      </c>
      <c r="B20" s="276" t="s">
        <v>408</v>
      </c>
      <c r="C20" s="362">
        <f>SUM(C21:C23)</f>
        <v>0</v>
      </c>
    </row>
    <row r="21" spans="1:3" s="514" customFormat="1" ht="12" customHeight="1">
      <c r="A21" s="506" t="s">
        <v>107</v>
      </c>
      <c r="B21" s="9" t="s">
        <v>261</v>
      </c>
      <c r="C21" s="360">
        <f>'9.3.1. sz. mell GAM'!C21+'9.3.2. sz. mell GAM'!C21+'9.3.3. sz. mell GAM'!C21</f>
        <v>0</v>
      </c>
    </row>
    <row r="22" spans="1:3" s="514" customFormat="1" ht="12" customHeight="1">
      <c r="A22" s="506" t="s">
        <v>108</v>
      </c>
      <c r="B22" s="8" t="s">
        <v>409</v>
      </c>
      <c r="C22" s="360">
        <f>'9.3.1. sz. mell GAM'!C22+'9.3.2. sz. mell GAM'!C22+'9.3.3. sz. mell GAM'!C22</f>
        <v>0</v>
      </c>
    </row>
    <row r="23" spans="1:3" s="514" customFormat="1" ht="12" customHeight="1">
      <c r="A23" s="506" t="s">
        <v>109</v>
      </c>
      <c r="B23" s="8" t="s">
        <v>410</v>
      </c>
      <c r="C23" s="360">
        <f>'9.3.1. sz. mell GAM'!C23+'9.3.2. sz. mell GAM'!C23+'9.3.3. sz. mell GAM'!C23</f>
        <v>0</v>
      </c>
    </row>
    <row r="24" spans="1:3" s="514" customFormat="1" ht="12" customHeight="1" thickBot="1">
      <c r="A24" s="506" t="s">
        <v>110</v>
      </c>
      <c r="B24" s="8" t="s">
        <v>531</v>
      </c>
      <c r="C24" s="360">
        <f>'9.3.1. sz. mell GAM'!C24+'9.3.2. sz. mell GAM'!C24+'9.3.3. sz. mell GAM'!C24</f>
        <v>0</v>
      </c>
    </row>
    <row r="25" spans="1:3" s="514" customFormat="1" ht="12" customHeight="1" thickBot="1">
      <c r="A25" s="240" t="s">
        <v>21</v>
      </c>
      <c r="B25" s="151" t="s">
        <v>175</v>
      </c>
      <c r="C25" s="389">
        <f>'9.3.1. sz. mell GAM'!C25+'9.3.2. sz. mell GAM'!C25+'9.3.3. sz. mell GAM'!C25</f>
        <v>0</v>
      </c>
    </row>
    <row r="26" spans="1:3" s="514" customFormat="1" ht="12" customHeight="1" thickBot="1">
      <c r="A26" s="240" t="s">
        <v>22</v>
      </c>
      <c r="B26" s="151" t="s">
        <v>411</v>
      </c>
      <c r="C26" s="362">
        <f>+C27+C28</f>
        <v>0</v>
      </c>
    </row>
    <row r="27" spans="1:3" s="514" customFormat="1" ht="12" customHeight="1">
      <c r="A27" s="507" t="s">
        <v>271</v>
      </c>
      <c r="B27" s="508" t="s">
        <v>409</v>
      </c>
      <c r="C27" s="95">
        <f>'9.3.1. sz. mell GAM'!C27+'9.3.2. sz. mell GAM'!C27+'9.3.3. sz. mell GAM'!C27</f>
        <v>0</v>
      </c>
    </row>
    <row r="28" spans="1:3" s="514" customFormat="1" ht="12" customHeight="1">
      <c r="A28" s="507" t="s">
        <v>272</v>
      </c>
      <c r="B28" s="509" t="s">
        <v>412</v>
      </c>
      <c r="C28" s="95">
        <f>'9.3.1. sz. mell GAM'!C28+'9.3.2. sz. mell GAM'!C28+'9.3.3. sz. mell GAM'!C28</f>
        <v>0</v>
      </c>
    </row>
    <row r="29" spans="1:3" s="514" customFormat="1" ht="12" customHeight="1" thickBot="1">
      <c r="A29" s="506" t="s">
        <v>273</v>
      </c>
      <c r="B29" s="169" t="s">
        <v>532</v>
      </c>
      <c r="C29" s="95">
        <f>'9.3.1. sz. mell GAM'!C29+'9.3.2. sz. mell GAM'!C29+'9.3.3. sz. mell GAM'!C29</f>
        <v>0</v>
      </c>
    </row>
    <row r="30" spans="1:3" s="514" customFormat="1" ht="12" customHeight="1" thickBot="1">
      <c r="A30" s="240" t="s">
        <v>23</v>
      </c>
      <c r="B30" s="151" t="s">
        <v>413</v>
      </c>
      <c r="C30" s="362">
        <f>+C31+C32+C33</f>
        <v>0</v>
      </c>
    </row>
    <row r="31" spans="1:3" s="514" customFormat="1" ht="12" customHeight="1">
      <c r="A31" s="507" t="s">
        <v>94</v>
      </c>
      <c r="B31" s="508" t="s">
        <v>294</v>
      </c>
      <c r="C31" s="95">
        <f>'9.3.1. sz. mell GAM'!C31+'9.3.2. sz. mell GAM'!C31+'9.3.3. sz. mell GAM'!C31</f>
        <v>0</v>
      </c>
    </row>
    <row r="32" spans="1:3" s="514" customFormat="1" ht="12" customHeight="1">
      <c r="A32" s="507" t="s">
        <v>95</v>
      </c>
      <c r="B32" s="509" t="s">
        <v>295</v>
      </c>
      <c r="C32" s="95">
        <f>'9.3.1. sz. mell GAM'!C32+'9.3.2. sz. mell GAM'!C32+'9.3.3. sz. mell GAM'!C32</f>
        <v>0</v>
      </c>
    </row>
    <row r="33" spans="1:3" s="514" customFormat="1" ht="12" customHeight="1" thickBot="1">
      <c r="A33" s="506" t="s">
        <v>96</v>
      </c>
      <c r="B33" s="169" t="s">
        <v>296</v>
      </c>
      <c r="C33" s="95">
        <f>'9.3.1. sz. mell GAM'!C33+'9.3.2. sz. mell GAM'!C33+'9.3.3. sz. mell GAM'!C33</f>
        <v>0</v>
      </c>
    </row>
    <row r="34" spans="1:3" s="419" customFormat="1" ht="12" customHeight="1" thickBot="1">
      <c r="A34" s="240" t="s">
        <v>24</v>
      </c>
      <c r="B34" s="151" t="s">
        <v>382</v>
      </c>
      <c r="C34" s="389">
        <f>'9.3.1. sz. mell GAM'!C34+'9.3.2. sz. mell GAM'!C34+'9.3.3. sz. mell GAM'!C34</f>
        <v>0</v>
      </c>
    </row>
    <row r="35" spans="1:3" s="419" customFormat="1" ht="12" customHeight="1" thickBot="1">
      <c r="A35" s="240" t="s">
        <v>25</v>
      </c>
      <c r="B35" s="151" t="s">
        <v>414</v>
      </c>
      <c r="C35" s="389">
        <f>'9.3.1. sz. mell GAM'!C35+'9.3.2. sz. mell GAM'!C35+'9.3.3. sz. mell GAM'!C35</f>
        <v>0</v>
      </c>
    </row>
    <row r="36" spans="1:3" s="419" customFormat="1" ht="12" customHeight="1" thickBot="1">
      <c r="A36" s="232" t="s">
        <v>26</v>
      </c>
      <c r="B36" s="151" t="s">
        <v>533</v>
      </c>
      <c r="C36" s="411">
        <f>+C8+C20+C25+C26+C30+C34+C35</f>
        <v>51273000</v>
      </c>
    </row>
    <row r="37" spans="1:3" s="419" customFormat="1" ht="12" customHeight="1" thickBot="1">
      <c r="A37" s="277" t="s">
        <v>27</v>
      </c>
      <c r="B37" s="151" t="s">
        <v>416</v>
      </c>
      <c r="C37" s="411">
        <f>+C38+C39+C40</f>
        <v>211017000</v>
      </c>
    </row>
    <row r="38" spans="1:3" s="419" customFormat="1" ht="12" customHeight="1">
      <c r="A38" s="507" t="s">
        <v>417</v>
      </c>
      <c r="B38" s="508" t="s">
        <v>239</v>
      </c>
      <c r="C38" s="95">
        <f>'9.3.1. sz. mell GAM'!C38+'9.3.2. sz. mell GAM'!C38+'9.3.3. sz. mell GAM'!C38</f>
        <v>0</v>
      </c>
    </row>
    <row r="39" spans="1:3" s="419" customFormat="1" ht="12" customHeight="1">
      <c r="A39" s="507" t="s">
        <v>418</v>
      </c>
      <c r="B39" s="509" t="s">
        <v>2</v>
      </c>
      <c r="C39" s="95">
        <f>'9.3.1. sz. mell GAM'!C39+'9.3.2. sz. mell GAM'!C39+'9.3.3. sz. mell GAM'!C39</f>
        <v>0</v>
      </c>
    </row>
    <row r="40" spans="1:3" s="514" customFormat="1" ht="12" customHeight="1" thickBot="1">
      <c r="A40" s="506" t="s">
        <v>419</v>
      </c>
      <c r="B40" s="169" t="s">
        <v>420</v>
      </c>
      <c r="C40" s="102">
        <f>'9.3.1. sz. mell GAM'!C40+'9.3.2. sz. mell GAM'!C40+'9.3.3. sz. mell GAM'!C40</f>
        <v>211017000</v>
      </c>
    </row>
    <row r="41" spans="1:3" s="514" customFormat="1" ht="15" customHeight="1" thickBot="1">
      <c r="A41" s="277" t="s">
        <v>28</v>
      </c>
      <c r="B41" s="278" t="s">
        <v>421</v>
      </c>
      <c r="C41" s="414">
        <f>+C36+C37</f>
        <v>262290000</v>
      </c>
    </row>
    <row r="42" spans="1:3" s="514" customFormat="1" ht="15" customHeight="1">
      <c r="A42" s="279"/>
      <c r="B42" s="280"/>
      <c r="C42" s="412"/>
    </row>
    <row r="43" spans="1:3" ht="13.5" thickBot="1">
      <c r="A43" s="281"/>
      <c r="B43" s="282"/>
      <c r="C43" s="413"/>
    </row>
    <row r="44" spans="1:3" s="513" customFormat="1" ht="16.5" customHeight="1" thickBot="1">
      <c r="A44" s="283"/>
      <c r="B44" s="284" t="s">
        <v>59</v>
      </c>
      <c r="C44" s="414"/>
    </row>
    <row r="45" spans="1:3" s="515" customFormat="1" ht="12" customHeight="1" thickBot="1">
      <c r="A45" s="240" t="s">
        <v>19</v>
      </c>
      <c r="B45" s="151" t="s">
        <v>422</v>
      </c>
      <c r="C45" s="362">
        <f>SUM(C46:C50)</f>
        <v>262090000</v>
      </c>
    </row>
    <row r="46" spans="1:3" ht="12" customHeight="1">
      <c r="A46" s="506" t="s">
        <v>101</v>
      </c>
      <c r="B46" s="9" t="s">
        <v>50</v>
      </c>
      <c r="C46" s="95">
        <f>'9.3.1. sz. mell GAM'!C46+'9.3.2. sz. mell GAM'!C46+'9.3.3. sz. mell GAM'!C46</f>
        <v>77580000</v>
      </c>
    </row>
    <row r="47" spans="1:3" ht="12" customHeight="1">
      <c r="A47" s="506" t="s">
        <v>102</v>
      </c>
      <c r="B47" s="8" t="s">
        <v>184</v>
      </c>
      <c r="C47" s="95">
        <f>'9.3.1. sz. mell GAM'!C47+'9.3.2. sz. mell GAM'!C47+'9.3.3. sz. mell GAM'!C47</f>
        <v>20997000</v>
      </c>
    </row>
    <row r="48" spans="1:3" ht="12" customHeight="1">
      <c r="A48" s="506" t="s">
        <v>103</v>
      </c>
      <c r="B48" s="8" t="s">
        <v>144</v>
      </c>
      <c r="C48" s="95">
        <f>'9.3.1. sz. mell GAM'!C48+'9.3.2. sz. mell GAM'!C48+'9.3.3. sz. mell GAM'!C48</f>
        <v>163513000</v>
      </c>
    </row>
    <row r="49" spans="1:3" ht="12" customHeight="1">
      <c r="A49" s="506" t="s">
        <v>104</v>
      </c>
      <c r="B49" s="8" t="s">
        <v>185</v>
      </c>
      <c r="C49" s="95">
        <f>'9.3.1. sz. mell GAM'!C49+'9.3.2. sz. mell GAM'!C49+'9.3.3. sz. mell GAM'!C49</f>
        <v>0</v>
      </c>
    </row>
    <row r="50" spans="1:3" ht="12" customHeight="1" thickBot="1">
      <c r="A50" s="506" t="s">
        <v>152</v>
      </c>
      <c r="B50" s="8" t="s">
        <v>186</v>
      </c>
      <c r="C50" s="95">
        <f>'9.3.1. sz. mell GAM'!C50+'9.3.2. sz. mell GAM'!C50+'9.3.3. sz. mell GAM'!C50</f>
        <v>0</v>
      </c>
    </row>
    <row r="51" spans="1:3" ht="12" customHeight="1" thickBot="1">
      <c r="A51" s="240" t="s">
        <v>20</v>
      </c>
      <c r="B51" s="151" t="s">
        <v>423</v>
      </c>
      <c r="C51" s="362">
        <f>SUM(C52:C54)</f>
        <v>200000</v>
      </c>
    </row>
    <row r="52" spans="1:3" s="515" customFormat="1" ht="12" customHeight="1">
      <c r="A52" s="506" t="s">
        <v>107</v>
      </c>
      <c r="B52" s="9" t="s">
        <v>229</v>
      </c>
      <c r="C52" s="95">
        <f>'9.3.1. sz. mell GAM'!C52+'9.3.2. sz. mell GAM'!C52+'9.3.3. sz. mell GAM'!C52</f>
        <v>0</v>
      </c>
    </row>
    <row r="53" spans="1:3" ht="12" customHeight="1">
      <c r="A53" s="506" t="s">
        <v>108</v>
      </c>
      <c r="B53" s="8" t="s">
        <v>188</v>
      </c>
      <c r="C53" s="95">
        <f>'9.3.1. sz. mell GAM'!C53+'9.3.2. sz. mell GAM'!C53+'9.3.3. sz. mell GAM'!C53</f>
        <v>200000</v>
      </c>
    </row>
    <row r="54" spans="1:3" ht="12" customHeight="1">
      <c r="A54" s="506" t="s">
        <v>109</v>
      </c>
      <c r="B54" s="8" t="s">
        <v>60</v>
      </c>
      <c r="C54" s="95">
        <f>'9.3.1. sz. mell GAM'!C54+'9.3.2. sz. mell GAM'!C54+'9.3.3. sz. mell GAM'!C54</f>
        <v>0</v>
      </c>
    </row>
    <row r="55" spans="1:3" ht="12" customHeight="1" thickBot="1">
      <c r="A55" s="506" t="s">
        <v>110</v>
      </c>
      <c r="B55" s="8" t="s">
        <v>530</v>
      </c>
      <c r="C55" s="95">
        <f>'9.3.1. sz. mell GAM'!C55+'9.3.2. sz. mell GAM'!C55+'9.3.3. sz. mell GAM'!C55</f>
        <v>0</v>
      </c>
    </row>
    <row r="56" spans="1:3" ht="15" customHeight="1" thickBot="1">
      <c r="A56" s="240" t="s">
        <v>21</v>
      </c>
      <c r="B56" s="151" t="s">
        <v>13</v>
      </c>
      <c r="C56" s="389">
        <f>'9.3.1. sz. mell GAM'!C56+'9.3.2. sz. mell GAM'!C56+'9.3.3. sz. mell GAM'!C56</f>
        <v>0</v>
      </c>
    </row>
    <row r="57" spans="1:3" ht="13.5" thickBot="1">
      <c r="A57" s="240" t="s">
        <v>22</v>
      </c>
      <c r="B57" s="285" t="s">
        <v>537</v>
      </c>
      <c r="C57" s="415">
        <f>+C45+C51+C56</f>
        <v>262290000</v>
      </c>
    </row>
    <row r="58" ht="15" customHeight="1" thickBot="1">
      <c r="C58" s="416"/>
    </row>
    <row r="59" spans="1:3" ht="14.25" customHeight="1" thickBot="1">
      <c r="A59" s="288" t="s">
        <v>525</v>
      </c>
      <c r="B59" s="289"/>
      <c r="C59" s="148">
        <f>'9.3.1. sz. mell GAM'!C59+'9.3.2. sz. mell GAM'!C59+'9.3.3. sz. mell GAM'!C59</f>
        <v>49</v>
      </c>
    </row>
    <row r="60" spans="1:3" ht="13.5" thickBot="1">
      <c r="A60" s="288" t="s">
        <v>207</v>
      </c>
      <c r="B60" s="289"/>
      <c r="C60" s="148">
        <f>'9.3.1. sz. mell GAM'!C60+'9.3.2. sz. mell GAM'!C60+'9.3.3. sz. mell GAM'!C60</f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40">
      <selection activeCell="D12" sqref="D12"/>
    </sheetView>
  </sheetViews>
  <sheetFormatPr defaultColWidth="9.00390625" defaultRowHeight="12.75"/>
  <cols>
    <col min="1" max="1" width="13.875" style="286" customWidth="1"/>
    <col min="2" max="2" width="79.125" style="287" customWidth="1"/>
    <col min="3" max="3" width="25.00390625" style="287" customWidth="1"/>
    <col min="4" max="16384" width="9.375" style="287" customWidth="1"/>
  </cols>
  <sheetData>
    <row r="1" spans="1:3" s="266" customFormat="1" ht="21" customHeight="1" thickBot="1">
      <c r="A1" s="265"/>
      <c r="B1" s="267"/>
      <c r="C1" s="510" t="str">
        <f>+CONCATENATE("9.3.1. melléklet a ……/",LEFT(ÖSSZEFÜGGÉSEK!A5,4),". (….) önkormányzati rendelethez")</f>
        <v>9.3.1. melléklet a ……/2016. (….) önkormányzati rendelethez</v>
      </c>
    </row>
    <row r="2" spans="1:3" s="511" customFormat="1" ht="25.5" customHeight="1">
      <c r="A2" s="461" t="s">
        <v>205</v>
      </c>
      <c r="B2" s="403" t="s">
        <v>579</v>
      </c>
      <c r="C2" s="417" t="s">
        <v>62</v>
      </c>
    </row>
    <row r="3" spans="1:3" s="511" customFormat="1" ht="24.75" thickBot="1">
      <c r="A3" s="504" t="s">
        <v>204</v>
      </c>
      <c r="B3" s="404" t="s">
        <v>424</v>
      </c>
      <c r="C3" s="418" t="s">
        <v>55</v>
      </c>
    </row>
    <row r="4" spans="1:3" s="512" customFormat="1" ht="15.75" customHeight="1" thickBot="1">
      <c r="A4" s="269"/>
      <c r="B4" s="269"/>
      <c r="C4" s="270" t="s">
        <v>583</v>
      </c>
    </row>
    <row r="5" spans="1:3" ht="13.5" thickBot="1">
      <c r="A5" s="462" t="s">
        <v>206</v>
      </c>
      <c r="B5" s="271" t="s">
        <v>572</v>
      </c>
      <c r="C5" s="272" t="s">
        <v>57</v>
      </c>
    </row>
    <row r="6" spans="1:3" s="513" customFormat="1" ht="12.75" customHeight="1" thickBot="1">
      <c r="A6" s="232"/>
      <c r="B6" s="233" t="s">
        <v>499</v>
      </c>
      <c r="C6" s="234" t="s">
        <v>500</v>
      </c>
    </row>
    <row r="7" spans="1:3" s="513" customFormat="1" ht="15.75" customHeight="1" thickBot="1">
      <c r="A7" s="273"/>
      <c r="B7" s="274" t="s">
        <v>58</v>
      </c>
      <c r="C7" s="275"/>
    </row>
    <row r="8" spans="1:3" s="419" customFormat="1" ht="12" customHeight="1" thickBot="1">
      <c r="A8" s="232" t="s">
        <v>19</v>
      </c>
      <c r="B8" s="276" t="s">
        <v>526</v>
      </c>
      <c r="C8" s="362">
        <f>SUM(C9:C19)</f>
        <v>16528000</v>
      </c>
    </row>
    <row r="9" spans="1:3" s="419" customFormat="1" ht="12" customHeight="1">
      <c r="A9" s="505" t="s">
        <v>101</v>
      </c>
      <c r="B9" s="10" t="s">
        <v>280</v>
      </c>
      <c r="C9" s="408"/>
    </row>
    <row r="10" spans="1:3" s="419" customFormat="1" ht="12" customHeight="1">
      <c r="A10" s="506" t="s">
        <v>102</v>
      </c>
      <c r="B10" s="8" t="s">
        <v>281</v>
      </c>
      <c r="C10" s="360">
        <v>8200000</v>
      </c>
    </row>
    <row r="11" spans="1:3" s="419" customFormat="1" ht="12" customHeight="1">
      <c r="A11" s="506" t="s">
        <v>103</v>
      </c>
      <c r="B11" s="8" t="s">
        <v>282</v>
      </c>
      <c r="C11" s="360">
        <v>525000</v>
      </c>
    </row>
    <row r="12" spans="1:3" s="419" customFormat="1" ht="12" customHeight="1">
      <c r="A12" s="506" t="s">
        <v>104</v>
      </c>
      <c r="B12" s="8" t="s">
        <v>283</v>
      </c>
      <c r="C12" s="360"/>
    </row>
    <row r="13" spans="1:3" s="419" customFormat="1" ht="12" customHeight="1">
      <c r="A13" s="506" t="s">
        <v>152</v>
      </c>
      <c r="B13" s="8" t="s">
        <v>284</v>
      </c>
      <c r="C13" s="360">
        <v>4868000</v>
      </c>
    </row>
    <row r="14" spans="1:3" s="419" customFormat="1" ht="12" customHeight="1">
      <c r="A14" s="506" t="s">
        <v>105</v>
      </c>
      <c r="B14" s="8" t="s">
        <v>406</v>
      </c>
      <c r="C14" s="360">
        <v>2935000</v>
      </c>
    </row>
    <row r="15" spans="1:3" s="419" customFormat="1" ht="12" customHeight="1">
      <c r="A15" s="506" t="s">
        <v>106</v>
      </c>
      <c r="B15" s="7" t="s">
        <v>407</v>
      </c>
      <c r="C15" s="360"/>
    </row>
    <row r="16" spans="1:3" s="419" customFormat="1" ht="12" customHeight="1">
      <c r="A16" s="506" t="s">
        <v>116</v>
      </c>
      <c r="B16" s="8" t="s">
        <v>287</v>
      </c>
      <c r="C16" s="409"/>
    </row>
    <row r="17" spans="1:3" s="514" customFormat="1" ht="12" customHeight="1">
      <c r="A17" s="506" t="s">
        <v>117</v>
      </c>
      <c r="B17" s="8" t="s">
        <v>288</v>
      </c>
      <c r="C17" s="360"/>
    </row>
    <row r="18" spans="1:3" s="514" customFormat="1" ht="12" customHeight="1">
      <c r="A18" s="506" t="s">
        <v>118</v>
      </c>
      <c r="B18" s="8" t="s">
        <v>443</v>
      </c>
      <c r="C18" s="361"/>
    </row>
    <row r="19" spans="1:3" s="514" customFormat="1" ht="12" customHeight="1" thickBot="1">
      <c r="A19" s="506" t="s">
        <v>119</v>
      </c>
      <c r="B19" s="7" t="s">
        <v>289</v>
      </c>
      <c r="C19" s="361"/>
    </row>
    <row r="20" spans="1:3" s="419" customFormat="1" ht="12" customHeight="1" thickBot="1">
      <c r="A20" s="232" t="s">
        <v>20</v>
      </c>
      <c r="B20" s="276" t="s">
        <v>408</v>
      </c>
      <c r="C20" s="362">
        <f>SUM(C21:C23)</f>
        <v>0</v>
      </c>
    </row>
    <row r="21" spans="1:3" s="514" customFormat="1" ht="12" customHeight="1">
      <c r="A21" s="506" t="s">
        <v>107</v>
      </c>
      <c r="B21" s="9" t="s">
        <v>261</v>
      </c>
      <c r="C21" s="360"/>
    </row>
    <row r="22" spans="1:3" s="514" customFormat="1" ht="12" customHeight="1">
      <c r="A22" s="506" t="s">
        <v>108</v>
      </c>
      <c r="B22" s="8" t="s">
        <v>409</v>
      </c>
      <c r="C22" s="360"/>
    </row>
    <row r="23" spans="1:3" s="514" customFormat="1" ht="12" customHeight="1">
      <c r="A23" s="506" t="s">
        <v>109</v>
      </c>
      <c r="B23" s="8" t="s">
        <v>410</v>
      </c>
      <c r="C23" s="360"/>
    </row>
    <row r="24" spans="1:3" s="514" customFormat="1" ht="12" customHeight="1" thickBot="1">
      <c r="A24" s="506" t="s">
        <v>110</v>
      </c>
      <c r="B24" s="8" t="s">
        <v>531</v>
      </c>
      <c r="C24" s="360"/>
    </row>
    <row r="25" spans="1:3" s="514" customFormat="1" ht="12" customHeight="1" thickBot="1">
      <c r="A25" s="240" t="s">
        <v>21</v>
      </c>
      <c r="B25" s="151" t="s">
        <v>175</v>
      </c>
      <c r="C25" s="389"/>
    </row>
    <row r="26" spans="1:3" s="514" customFormat="1" ht="12" customHeight="1" thickBot="1">
      <c r="A26" s="240" t="s">
        <v>22</v>
      </c>
      <c r="B26" s="151" t="s">
        <v>411</v>
      </c>
      <c r="C26" s="362">
        <f>+C27+C28</f>
        <v>0</v>
      </c>
    </row>
    <row r="27" spans="1:3" s="514" customFormat="1" ht="12" customHeight="1">
      <c r="A27" s="507" t="s">
        <v>271</v>
      </c>
      <c r="B27" s="508" t="s">
        <v>409</v>
      </c>
      <c r="C27" s="95"/>
    </row>
    <row r="28" spans="1:3" s="514" customFormat="1" ht="12" customHeight="1">
      <c r="A28" s="507" t="s">
        <v>272</v>
      </c>
      <c r="B28" s="509" t="s">
        <v>412</v>
      </c>
      <c r="C28" s="363"/>
    </row>
    <row r="29" spans="1:3" s="514" customFormat="1" ht="12" customHeight="1" thickBot="1">
      <c r="A29" s="506" t="s">
        <v>273</v>
      </c>
      <c r="B29" s="169" t="s">
        <v>532</v>
      </c>
      <c r="C29" s="102"/>
    </row>
    <row r="30" spans="1:3" s="514" customFormat="1" ht="12" customHeight="1" thickBot="1">
      <c r="A30" s="240" t="s">
        <v>23</v>
      </c>
      <c r="B30" s="151" t="s">
        <v>413</v>
      </c>
      <c r="C30" s="362">
        <f>+C31+C32+C33</f>
        <v>0</v>
      </c>
    </row>
    <row r="31" spans="1:3" s="514" customFormat="1" ht="12" customHeight="1">
      <c r="A31" s="507" t="s">
        <v>94</v>
      </c>
      <c r="B31" s="508" t="s">
        <v>294</v>
      </c>
      <c r="C31" s="95"/>
    </row>
    <row r="32" spans="1:3" s="514" customFormat="1" ht="12" customHeight="1">
      <c r="A32" s="507" t="s">
        <v>95</v>
      </c>
      <c r="B32" s="509" t="s">
        <v>295</v>
      </c>
      <c r="C32" s="363"/>
    </row>
    <row r="33" spans="1:3" s="514" customFormat="1" ht="12" customHeight="1" thickBot="1">
      <c r="A33" s="506" t="s">
        <v>96</v>
      </c>
      <c r="B33" s="169" t="s">
        <v>296</v>
      </c>
      <c r="C33" s="102"/>
    </row>
    <row r="34" spans="1:3" s="419" customFormat="1" ht="12" customHeight="1" thickBot="1">
      <c r="A34" s="240" t="s">
        <v>24</v>
      </c>
      <c r="B34" s="151" t="s">
        <v>382</v>
      </c>
      <c r="C34" s="389"/>
    </row>
    <row r="35" spans="1:3" s="419" customFormat="1" ht="12" customHeight="1" thickBot="1">
      <c r="A35" s="240" t="s">
        <v>25</v>
      </c>
      <c r="B35" s="151" t="s">
        <v>414</v>
      </c>
      <c r="C35" s="410"/>
    </row>
    <row r="36" spans="1:3" s="419" customFormat="1" ht="12" customHeight="1" thickBot="1">
      <c r="A36" s="232" t="s">
        <v>26</v>
      </c>
      <c r="B36" s="151" t="s">
        <v>533</v>
      </c>
      <c r="C36" s="411">
        <f>+C8+C20+C25+C26+C30+C34+C35</f>
        <v>16528000</v>
      </c>
    </row>
    <row r="37" spans="1:3" s="419" customFormat="1" ht="12" customHeight="1" thickBot="1">
      <c r="A37" s="277" t="s">
        <v>27</v>
      </c>
      <c r="B37" s="151" t="s">
        <v>416</v>
      </c>
      <c r="C37" s="411">
        <f>+C38+C39+C40</f>
        <v>201197000</v>
      </c>
    </row>
    <row r="38" spans="1:3" s="419" customFormat="1" ht="12" customHeight="1">
      <c r="A38" s="507" t="s">
        <v>417</v>
      </c>
      <c r="B38" s="508" t="s">
        <v>239</v>
      </c>
      <c r="C38" s="95"/>
    </row>
    <row r="39" spans="1:3" s="419" customFormat="1" ht="12" customHeight="1">
      <c r="A39" s="507" t="s">
        <v>418</v>
      </c>
      <c r="B39" s="509" t="s">
        <v>2</v>
      </c>
      <c r="C39" s="363"/>
    </row>
    <row r="40" spans="1:3" s="514" customFormat="1" ht="12" customHeight="1" thickBot="1">
      <c r="A40" s="506" t="s">
        <v>419</v>
      </c>
      <c r="B40" s="169" t="s">
        <v>420</v>
      </c>
      <c r="C40" s="102">
        <f>C57-C36</f>
        <v>201197000</v>
      </c>
    </row>
    <row r="41" spans="1:3" s="514" customFormat="1" ht="15" customHeight="1" thickBot="1">
      <c r="A41" s="277" t="s">
        <v>28</v>
      </c>
      <c r="B41" s="278" t="s">
        <v>421</v>
      </c>
      <c r="C41" s="414">
        <f>+C36+C37</f>
        <v>217725000</v>
      </c>
    </row>
    <row r="42" spans="1:3" s="514" customFormat="1" ht="15" customHeight="1">
      <c r="A42" s="279"/>
      <c r="B42" s="280"/>
      <c r="C42" s="412"/>
    </row>
    <row r="43" spans="1:3" ht="13.5" thickBot="1">
      <c r="A43" s="281"/>
      <c r="B43" s="282"/>
      <c r="C43" s="413"/>
    </row>
    <row r="44" spans="1:3" s="513" customFormat="1" ht="16.5" customHeight="1" thickBot="1">
      <c r="A44" s="283"/>
      <c r="B44" s="284" t="s">
        <v>59</v>
      </c>
      <c r="C44" s="414"/>
    </row>
    <row r="45" spans="1:3" s="515" customFormat="1" ht="12" customHeight="1" thickBot="1">
      <c r="A45" s="240" t="s">
        <v>19</v>
      </c>
      <c r="B45" s="151" t="s">
        <v>422</v>
      </c>
      <c r="C45" s="362">
        <f>SUM(C46:C50)</f>
        <v>217525000</v>
      </c>
    </row>
    <row r="46" spans="1:3" ht="12" customHeight="1">
      <c r="A46" s="506" t="s">
        <v>101</v>
      </c>
      <c r="B46" s="9" t="s">
        <v>50</v>
      </c>
      <c r="C46" s="95">
        <v>66228000</v>
      </c>
    </row>
    <row r="47" spans="1:3" ht="12" customHeight="1">
      <c r="A47" s="506" t="s">
        <v>102</v>
      </c>
      <c r="B47" s="8" t="s">
        <v>184</v>
      </c>
      <c r="C47" s="98">
        <v>17932000</v>
      </c>
    </row>
    <row r="48" spans="1:3" ht="12" customHeight="1">
      <c r="A48" s="506" t="s">
        <v>103</v>
      </c>
      <c r="B48" s="8" t="s">
        <v>144</v>
      </c>
      <c r="C48" s="98">
        <f>150891000-17526000</f>
        <v>133365000</v>
      </c>
    </row>
    <row r="49" spans="1:3" ht="12" customHeight="1">
      <c r="A49" s="506" t="s">
        <v>104</v>
      </c>
      <c r="B49" s="8" t="s">
        <v>185</v>
      </c>
      <c r="C49" s="98"/>
    </row>
    <row r="50" spans="1:3" ht="12" customHeight="1" thickBot="1">
      <c r="A50" s="506" t="s">
        <v>152</v>
      </c>
      <c r="B50" s="8" t="s">
        <v>186</v>
      </c>
      <c r="C50" s="98"/>
    </row>
    <row r="51" spans="1:3" ht="12" customHeight="1" thickBot="1">
      <c r="A51" s="240" t="s">
        <v>20</v>
      </c>
      <c r="B51" s="151" t="s">
        <v>423</v>
      </c>
      <c r="C51" s="362">
        <f>SUM(C52:C54)</f>
        <v>200000</v>
      </c>
    </row>
    <row r="52" spans="1:3" s="515" customFormat="1" ht="12" customHeight="1">
      <c r="A52" s="506" t="s">
        <v>107</v>
      </c>
      <c r="B52" s="9" t="s">
        <v>229</v>
      </c>
      <c r="C52" s="95"/>
    </row>
    <row r="53" spans="1:3" ht="12" customHeight="1">
      <c r="A53" s="506" t="s">
        <v>108</v>
      </c>
      <c r="B53" s="8" t="s">
        <v>188</v>
      </c>
      <c r="C53" s="98">
        <v>200000</v>
      </c>
    </row>
    <row r="54" spans="1:3" ht="12" customHeight="1">
      <c r="A54" s="506" t="s">
        <v>109</v>
      </c>
      <c r="B54" s="8" t="s">
        <v>60</v>
      </c>
      <c r="C54" s="98"/>
    </row>
    <row r="55" spans="1:3" ht="12" customHeight="1" thickBot="1">
      <c r="A55" s="506" t="s">
        <v>110</v>
      </c>
      <c r="B55" s="8" t="s">
        <v>530</v>
      </c>
      <c r="C55" s="98"/>
    </row>
    <row r="56" spans="1:3" ht="15" customHeight="1" thickBot="1">
      <c r="A56" s="240" t="s">
        <v>21</v>
      </c>
      <c r="B56" s="151" t="s">
        <v>13</v>
      </c>
      <c r="C56" s="389"/>
    </row>
    <row r="57" spans="1:3" ht="13.5" thickBot="1">
      <c r="A57" s="240" t="s">
        <v>22</v>
      </c>
      <c r="B57" s="285" t="s">
        <v>537</v>
      </c>
      <c r="C57" s="415">
        <f>+C45+C51+C56</f>
        <v>217725000</v>
      </c>
    </row>
    <row r="58" ht="15" customHeight="1" thickBot="1">
      <c r="C58" s="416"/>
    </row>
    <row r="59" spans="1:3" ht="14.25" customHeight="1" thickBot="1">
      <c r="A59" s="288" t="s">
        <v>525</v>
      </c>
      <c r="B59" s="289"/>
      <c r="C59" s="148">
        <v>41</v>
      </c>
    </row>
    <row r="60" spans="1:3" ht="13.5" thickBot="1">
      <c r="A60" s="288" t="s">
        <v>207</v>
      </c>
      <c r="B60" s="289"/>
      <c r="C60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25">
      <selection activeCell="C60" sqref="C60"/>
    </sheetView>
  </sheetViews>
  <sheetFormatPr defaultColWidth="9.00390625" defaultRowHeight="12.75"/>
  <cols>
    <col min="1" max="1" width="13.875" style="286" customWidth="1"/>
    <col min="2" max="2" width="79.125" style="287" customWidth="1"/>
    <col min="3" max="3" width="25.00390625" style="287" customWidth="1"/>
    <col min="4" max="16384" width="9.375" style="287" customWidth="1"/>
  </cols>
  <sheetData>
    <row r="1" spans="1:3" s="266" customFormat="1" ht="21" customHeight="1" thickBot="1">
      <c r="A1" s="265"/>
      <c r="B1" s="267"/>
      <c r="C1" s="510" t="str">
        <f>+CONCATENATE("9.3.2. melléklet a ……/",LEFT(ÖSSZEFÜGGÉSEK!A5,4),". (….) önkormányzati rendelethez")</f>
        <v>9.3.2. melléklet a ……/2016. (….) önkormányzati rendelethez</v>
      </c>
    </row>
    <row r="2" spans="1:3" s="511" customFormat="1" ht="25.5" customHeight="1">
      <c r="A2" s="461" t="s">
        <v>205</v>
      </c>
      <c r="B2" s="403" t="s">
        <v>579</v>
      </c>
      <c r="C2" s="417" t="s">
        <v>62</v>
      </c>
    </row>
    <row r="3" spans="1:3" s="511" customFormat="1" ht="24.75" thickBot="1">
      <c r="A3" s="504" t="s">
        <v>204</v>
      </c>
      <c r="B3" s="404" t="s">
        <v>425</v>
      </c>
      <c r="C3" s="418" t="s">
        <v>61</v>
      </c>
    </row>
    <row r="4" spans="1:3" s="512" customFormat="1" ht="15.75" customHeight="1" thickBot="1">
      <c r="A4" s="269"/>
      <c r="B4" s="269"/>
      <c r="C4" s="270" t="s">
        <v>583</v>
      </c>
    </row>
    <row r="5" spans="1:3" ht="13.5" thickBot="1">
      <c r="A5" s="462" t="s">
        <v>206</v>
      </c>
      <c r="B5" s="271" t="s">
        <v>572</v>
      </c>
      <c r="C5" s="272" t="s">
        <v>57</v>
      </c>
    </row>
    <row r="6" spans="1:3" s="513" customFormat="1" ht="12.75" customHeight="1" thickBot="1">
      <c r="A6" s="232"/>
      <c r="B6" s="233" t="s">
        <v>499</v>
      </c>
      <c r="C6" s="234" t="s">
        <v>500</v>
      </c>
    </row>
    <row r="7" spans="1:3" s="513" customFormat="1" ht="15.75" customHeight="1" thickBot="1">
      <c r="A7" s="273"/>
      <c r="B7" s="274" t="s">
        <v>58</v>
      </c>
      <c r="C7" s="275"/>
    </row>
    <row r="8" spans="1:3" s="419" customFormat="1" ht="12" customHeight="1" thickBot="1">
      <c r="A8" s="232" t="s">
        <v>19</v>
      </c>
      <c r="B8" s="276" t="s">
        <v>526</v>
      </c>
      <c r="C8" s="362">
        <f>SUM(C9:C19)</f>
        <v>34745000</v>
      </c>
    </row>
    <row r="9" spans="1:3" s="419" customFormat="1" ht="12" customHeight="1">
      <c r="A9" s="505" t="s">
        <v>101</v>
      </c>
      <c r="B9" s="10" t="s">
        <v>280</v>
      </c>
      <c r="C9" s="408"/>
    </row>
    <row r="10" spans="1:3" s="419" customFormat="1" ht="12" customHeight="1">
      <c r="A10" s="506" t="s">
        <v>102</v>
      </c>
      <c r="B10" s="8" t="s">
        <v>281</v>
      </c>
      <c r="C10" s="360">
        <v>27358000</v>
      </c>
    </row>
    <row r="11" spans="1:3" s="419" customFormat="1" ht="12" customHeight="1">
      <c r="A11" s="506" t="s">
        <v>103</v>
      </c>
      <c r="B11" s="8" t="s">
        <v>282</v>
      </c>
      <c r="C11" s="360"/>
    </row>
    <row r="12" spans="1:3" s="419" customFormat="1" ht="12" customHeight="1">
      <c r="A12" s="506" t="s">
        <v>104</v>
      </c>
      <c r="B12" s="8" t="s">
        <v>283</v>
      </c>
      <c r="C12" s="360"/>
    </row>
    <row r="13" spans="1:3" s="419" customFormat="1" ht="12" customHeight="1">
      <c r="A13" s="506" t="s">
        <v>152</v>
      </c>
      <c r="B13" s="8" t="s">
        <v>284</v>
      </c>
      <c r="C13" s="360"/>
    </row>
    <row r="14" spans="1:3" s="419" customFormat="1" ht="12" customHeight="1">
      <c r="A14" s="506" t="s">
        <v>105</v>
      </c>
      <c r="B14" s="8" t="s">
        <v>406</v>
      </c>
      <c r="C14" s="360">
        <v>7387000</v>
      </c>
    </row>
    <row r="15" spans="1:3" s="419" customFormat="1" ht="12" customHeight="1">
      <c r="A15" s="506" t="s">
        <v>106</v>
      </c>
      <c r="B15" s="7" t="s">
        <v>407</v>
      </c>
      <c r="C15" s="360"/>
    </row>
    <row r="16" spans="1:3" s="419" customFormat="1" ht="12" customHeight="1">
      <c r="A16" s="506" t="s">
        <v>116</v>
      </c>
      <c r="B16" s="8" t="s">
        <v>287</v>
      </c>
      <c r="C16" s="409"/>
    </row>
    <row r="17" spans="1:3" s="514" customFormat="1" ht="12" customHeight="1">
      <c r="A17" s="506" t="s">
        <v>117</v>
      </c>
      <c r="B17" s="8" t="s">
        <v>288</v>
      </c>
      <c r="C17" s="360"/>
    </row>
    <row r="18" spans="1:3" s="514" customFormat="1" ht="12" customHeight="1">
      <c r="A18" s="506" t="s">
        <v>118</v>
      </c>
      <c r="B18" s="8" t="s">
        <v>443</v>
      </c>
      <c r="C18" s="361"/>
    </row>
    <row r="19" spans="1:3" s="514" customFormat="1" ht="12" customHeight="1" thickBot="1">
      <c r="A19" s="506" t="s">
        <v>119</v>
      </c>
      <c r="B19" s="7" t="s">
        <v>289</v>
      </c>
      <c r="C19" s="361"/>
    </row>
    <row r="20" spans="1:3" s="419" customFormat="1" ht="12" customHeight="1" thickBot="1">
      <c r="A20" s="232" t="s">
        <v>20</v>
      </c>
      <c r="B20" s="276" t="s">
        <v>408</v>
      </c>
      <c r="C20" s="362">
        <f>SUM(C21:C23)</f>
        <v>0</v>
      </c>
    </row>
    <row r="21" spans="1:3" s="514" customFormat="1" ht="12" customHeight="1">
      <c r="A21" s="506" t="s">
        <v>107</v>
      </c>
      <c r="B21" s="9" t="s">
        <v>261</v>
      </c>
      <c r="C21" s="360"/>
    </row>
    <row r="22" spans="1:3" s="514" customFormat="1" ht="12" customHeight="1">
      <c r="A22" s="506" t="s">
        <v>108</v>
      </c>
      <c r="B22" s="8" t="s">
        <v>409</v>
      </c>
      <c r="C22" s="360"/>
    </row>
    <row r="23" spans="1:3" s="514" customFormat="1" ht="12" customHeight="1">
      <c r="A23" s="506" t="s">
        <v>109</v>
      </c>
      <c r="B23" s="8" t="s">
        <v>410</v>
      </c>
      <c r="C23" s="360"/>
    </row>
    <row r="24" spans="1:3" s="514" customFormat="1" ht="12" customHeight="1" thickBot="1">
      <c r="A24" s="506" t="s">
        <v>110</v>
      </c>
      <c r="B24" s="8" t="s">
        <v>531</v>
      </c>
      <c r="C24" s="360"/>
    </row>
    <row r="25" spans="1:3" s="514" customFormat="1" ht="12" customHeight="1" thickBot="1">
      <c r="A25" s="240" t="s">
        <v>21</v>
      </c>
      <c r="B25" s="151" t="s">
        <v>175</v>
      </c>
      <c r="C25" s="389"/>
    </row>
    <row r="26" spans="1:3" s="514" customFormat="1" ht="12" customHeight="1" thickBot="1">
      <c r="A26" s="240" t="s">
        <v>22</v>
      </c>
      <c r="B26" s="151" t="s">
        <v>411</v>
      </c>
      <c r="C26" s="362">
        <f>+C27+C28</f>
        <v>0</v>
      </c>
    </row>
    <row r="27" spans="1:3" s="514" customFormat="1" ht="12" customHeight="1">
      <c r="A27" s="507" t="s">
        <v>271</v>
      </c>
      <c r="B27" s="508" t="s">
        <v>409</v>
      </c>
      <c r="C27" s="95"/>
    </row>
    <row r="28" spans="1:3" s="514" customFormat="1" ht="12" customHeight="1">
      <c r="A28" s="507" t="s">
        <v>272</v>
      </c>
      <c r="B28" s="509" t="s">
        <v>412</v>
      </c>
      <c r="C28" s="363"/>
    </row>
    <row r="29" spans="1:3" s="514" customFormat="1" ht="12" customHeight="1" thickBot="1">
      <c r="A29" s="506" t="s">
        <v>273</v>
      </c>
      <c r="B29" s="169" t="s">
        <v>532</v>
      </c>
      <c r="C29" s="102"/>
    </row>
    <row r="30" spans="1:3" s="514" customFormat="1" ht="12" customHeight="1" thickBot="1">
      <c r="A30" s="240" t="s">
        <v>23</v>
      </c>
      <c r="B30" s="151" t="s">
        <v>413</v>
      </c>
      <c r="C30" s="362">
        <f>+C31+C32+C33</f>
        <v>0</v>
      </c>
    </row>
    <row r="31" spans="1:3" s="514" customFormat="1" ht="12" customHeight="1">
      <c r="A31" s="507" t="s">
        <v>94</v>
      </c>
      <c r="B31" s="508" t="s">
        <v>294</v>
      </c>
      <c r="C31" s="95"/>
    </row>
    <row r="32" spans="1:3" s="514" customFormat="1" ht="12" customHeight="1">
      <c r="A32" s="507" t="s">
        <v>95</v>
      </c>
      <c r="B32" s="509" t="s">
        <v>295</v>
      </c>
      <c r="C32" s="363"/>
    </row>
    <row r="33" spans="1:3" s="514" customFormat="1" ht="12" customHeight="1" thickBot="1">
      <c r="A33" s="506" t="s">
        <v>96</v>
      </c>
      <c r="B33" s="169" t="s">
        <v>296</v>
      </c>
      <c r="C33" s="102"/>
    </row>
    <row r="34" spans="1:3" s="419" customFormat="1" ht="12" customHeight="1" thickBot="1">
      <c r="A34" s="240" t="s">
        <v>24</v>
      </c>
      <c r="B34" s="151" t="s">
        <v>382</v>
      </c>
      <c r="C34" s="389"/>
    </row>
    <row r="35" spans="1:3" s="419" customFormat="1" ht="12" customHeight="1" thickBot="1">
      <c r="A35" s="240" t="s">
        <v>25</v>
      </c>
      <c r="B35" s="151" t="s">
        <v>414</v>
      </c>
      <c r="C35" s="410"/>
    </row>
    <row r="36" spans="1:3" s="419" customFormat="1" ht="12" customHeight="1" thickBot="1">
      <c r="A36" s="232" t="s">
        <v>26</v>
      </c>
      <c r="B36" s="151" t="s">
        <v>533</v>
      </c>
      <c r="C36" s="411">
        <f>+C8+C20+C25+C26+C30+C34+C35</f>
        <v>34745000</v>
      </c>
    </row>
    <row r="37" spans="1:3" s="419" customFormat="1" ht="12" customHeight="1" thickBot="1">
      <c r="A37" s="277" t="s">
        <v>27</v>
      </c>
      <c r="B37" s="151" t="s">
        <v>416</v>
      </c>
      <c r="C37" s="411">
        <f>+C38+C39+C40</f>
        <v>9820000</v>
      </c>
    </row>
    <row r="38" spans="1:3" s="419" customFormat="1" ht="12" customHeight="1">
      <c r="A38" s="507" t="s">
        <v>417</v>
      </c>
      <c r="B38" s="508" t="s">
        <v>239</v>
      </c>
      <c r="C38" s="95"/>
    </row>
    <row r="39" spans="1:3" s="419" customFormat="1" ht="12" customHeight="1">
      <c r="A39" s="507" t="s">
        <v>418</v>
      </c>
      <c r="B39" s="509" t="s">
        <v>2</v>
      </c>
      <c r="C39" s="363"/>
    </row>
    <row r="40" spans="1:3" s="514" customFormat="1" ht="12" customHeight="1" thickBot="1">
      <c r="A40" s="506" t="s">
        <v>419</v>
      </c>
      <c r="B40" s="169" t="s">
        <v>420</v>
      </c>
      <c r="C40" s="102">
        <v>9820000</v>
      </c>
    </row>
    <row r="41" spans="1:3" s="514" customFormat="1" ht="15" customHeight="1" thickBot="1">
      <c r="A41" s="277" t="s">
        <v>28</v>
      </c>
      <c r="B41" s="278" t="s">
        <v>421</v>
      </c>
      <c r="C41" s="414">
        <f>+C36+C37</f>
        <v>44565000</v>
      </c>
    </row>
    <row r="42" spans="1:3" s="514" customFormat="1" ht="15" customHeight="1">
      <c r="A42" s="279"/>
      <c r="B42" s="280"/>
      <c r="C42" s="412"/>
    </row>
    <row r="43" spans="1:3" ht="13.5" thickBot="1">
      <c r="A43" s="281"/>
      <c r="B43" s="282"/>
      <c r="C43" s="413"/>
    </row>
    <row r="44" spans="1:3" s="513" customFormat="1" ht="16.5" customHeight="1" thickBot="1">
      <c r="A44" s="283"/>
      <c r="B44" s="284" t="s">
        <v>59</v>
      </c>
      <c r="C44" s="414"/>
    </row>
    <row r="45" spans="1:3" s="515" customFormat="1" ht="12" customHeight="1" thickBot="1">
      <c r="A45" s="240" t="s">
        <v>19</v>
      </c>
      <c r="B45" s="151" t="s">
        <v>422</v>
      </c>
      <c r="C45" s="362">
        <f>SUM(C46:C50)</f>
        <v>44565000</v>
      </c>
    </row>
    <row r="46" spans="1:3" ht="12" customHeight="1">
      <c r="A46" s="506" t="s">
        <v>101</v>
      </c>
      <c r="B46" s="9" t="s">
        <v>50</v>
      </c>
      <c r="C46" s="95">
        <v>11352000</v>
      </c>
    </row>
    <row r="47" spans="1:3" ht="12" customHeight="1">
      <c r="A47" s="506" t="s">
        <v>102</v>
      </c>
      <c r="B47" s="8" t="s">
        <v>184</v>
      </c>
      <c r="C47" s="98">
        <v>3065000</v>
      </c>
    </row>
    <row r="48" spans="1:3" ht="12" customHeight="1">
      <c r="A48" s="506" t="s">
        <v>103</v>
      </c>
      <c r="B48" s="8" t="s">
        <v>144</v>
      </c>
      <c r="C48" s="98">
        <v>30148000</v>
      </c>
    </row>
    <row r="49" spans="1:3" ht="12" customHeight="1">
      <c r="A49" s="506" t="s">
        <v>104</v>
      </c>
      <c r="B49" s="8" t="s">
        <v>185</v>
      </c>
      <c r="C49" s="98"/>
    </row>
    <row r="50" spans="1:3" ht="12" customHeight="1" thickBot="1">
      <c r="A50" s="506" t="s">
        <v>152</v>
      </c>
      <c r="B50" s="8" t="s">
        <v>186</v>
      </c>
      <c r="C50" s="98"/>
    </row>
    <row r="51" spans="1:3" ht="12" customHeight="1" thickBot="1">
      <c r="A51" s="240" t="s">
        <v>20</v>
      </c>
      <c r="B51" s="151" t="s">
        <v>423</v>
      </c>
      <c r="C51" s="362">
        <f>SUM(C52:C54)</f>
        <v>0</v>
      </c>
    </row>
    <row r="52" spans="1:3" s="515" customFormat="1" ht="12" customHeight="1">
      <c r="A52" s="506" t="s">
        <v>107</v>
      </c>
      <c r="B52" s="9" t="s">
        <v>229</v>
      </c>
      <c r="C52" s="95"/>
    </row>
    <row r="53" spans="1:3" ht="12" customHeight="1">
      <c r="A53" s="506" t="s">
        <v>108</v>
      </c>
      <c r="B53" s="8" t="s">
        <v>188</v>
      </c>
      <c r="C53" s="98"/>
    </row>
    <row r="54" spans="1:3" ht="12" customHeight="1">
      <c r="A54" s="506" t="s">
        <v>109</v>
      </c>
      <c r="B54" s="8" t="s">
        <v>60</v>
      </c>
      <c r="C54" s="98"/>
    </row>
    <row r="55" spans="1:3" ht="12" customHeight="1" thickBot="1">
      <c r="A55" s="506" t="s">
        <v>110</v>
      </c>
      <c r="B55" s="8" t="s">
        <v>530</v>
      </c>
      <c r="C55" s="98"/>
    </row>
    <row r="56" spans="1:3" ht="15" customHeight="1" thickBot="1">
      <c r="A56" s="240" t="s">
        <v>21</v>
      </c>
      <c r="B56" s="151" t="s">
        <v>13</v>
      </c>
      <c r="C56" s="389"/>
    </row>
    <row r="57" spans="1:3" ht="13.5" thickBot="1">
      <c r="A57" s="240" t="s">
        <v>22</v>
      </c>
      <c r="B57" s="285" t="s">
        <v>537</v>
      </c>
      <c r="C57" s="415">
        <f>+C45+C51+C56</f>
        <v>44565000</v>
      </c>
    </row>
    <row r="58" ht="15" customHeight="1" thickBot="1">
      <c r="C58" s="416"/>
    </row>
    <row r="59" spans="1:3" ht="14.25" customHeight="1" thickBot="1">
      <c r="A59" s="288" t="s">
        <v>525</v>
      </c>
      <c r="B59" s="289"/>
      <c r="C59" s="148">
        <v>8</v>
      </c>
    </row>
    <row r="60" spans="1:3" ht="13.5" thickBot="1">
      <c r="A60" s="288" t="s">
        <v>207</v>
      </c>
      <c r="B60" s="289"/>
      <c r="C60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5" sqref="C5"/>
    </sheetView>
  </sheetViews>
  <sheetFormatPr defaultColWidth="9.00390625" defaultRowHeight="12.75"/>
  <cols>
    <col min="1" max="1" width="13.875" style="286" customWidth="1"/>
    <col min="2" max="2" width="79.125" style="287" customWidth="1"/>
    <col min="3" max="3" width="25.00390625" style="287" customWidth="1"/>
    <col min="4" max="16384" width="9.375" style="287" customWidth="1"/>
  </cols>
  <sheetData>
    <row r="1" spans="1:3" s="266" customFormat="1" ht="21" customHeight="1" thickBot="1">
      <c r="A1" s="265"/>
      <c r="B1" s="267"/>
      <c r="C1" s="510" t="str">
        <f>+CONCATENATE("9.3.3. melléklet a ……/",LEFT(ÖSSZEFÜGGÉSEK!A5,4),". (….) önkormányzati rendelethez")</f>
        <v>9.3.3. melléklet a ……/2016. (….) önkormányzati rendelethez</v>
      </c>
    </row>
    <row r="2" spans="1:3" s="511" customFormat="1" ht="25.5" customHeight="1">
      <c r="A2" s="461" t="s">
        <v>205</v>
      </c>
      <c r="B2" s="403" t="s">
        <v>579</v>
      </c>
      <c r="C2" s="417" t="s">
        <v>62</v>
      </c>
    </row>
    <row r="3" spans="1:3" s="511" customFormat="1" ht="24.75" thickBot="1">
      <c r="A3" s="504" t="s">
        <v>204</v>
      </c>
      <c r="B3" s="404" t="s">
        <v>538</v>
      </c>
      <c r="C3" s="418" t="s">
        <v>62</v>
      </c>
    </row>
    <row r="4" spans="1:3" s="512" customFormat="1" ht="15.75" customHeight="1" thickBot="1">
      <c r="A4" s="269"/>
      <c r="B4" s="269"/>
      <c r="C4" s="270" t="s">
        <v>583</v>
      </c>
    </row>
    <row r="5" spans="1:3" ht="13.5" thickBot="1">
      <c r="A5" s="462" t="s">
        <v>206</v>
      </c>
      <c r="B5" s="271" t="s">
        <v>572</v>
      </c>
      <c r="C5" s="272" t="s">
        <v>57</v>
      </c>
    </row>
    <row r="6" spans="1:3" s="513" customFormat="1" ht="12.75" customHeight="1" thickBot="1">
      <c r="A6" s="232"/>
      <c r="B6" s="233" t="s">
        <v>499</v>
      </c>
      <c r="C6" s="234" t="s">
        <v>500</v>
      </c>
    </row>
    <row r="7" spans="1:3" s="513" customFormat="1" ht="15.75" customHeight="1" thickBot="1">
      <c r="A7" s="273"/>
      <c r="B7" s="274" t="s">
        <v>58</v>
      </c>
      <c r="C7" s="275"/>
    </row>
    <row r="8" spans="1:3" s="419" customFormat="1" ht="12" customHeight="1" thickBot="1">
      <c r="A8" s="232" t="s">
        <v>19</v>
      </c>
      <c r="B8" s="276" t="s">
        <v>526</v>
      </c>
      <c r="C8" s="362">
        <f>SUM(C9:C19)</f>
        <v>0</v>
      </c>
    </row>
    <row r="9" spans="1:3" s="419" customFormat="1" ht="12" customHeight="1">
      <c r="A9" s="505" t="s">
        <v>101</v>
      </c>
      <c r="B9" s="10" t="s">
        <v>280</v>
      </c>
      <c r="C9" s="408"/>
    </row>
    <row r="10" spans="1:3" s="419" customFormat="1" ht="12" customHeight="1">
      <c r="A10" s="506" t="s">
        <v>102</v>
      </c>
      <c r="B10" s="8" t="s">
        <v>281</v>
      </c>
      <c r="C10" s="360"/>
    </row>
    <row r="11" spans="1:3" s="419" customFormat="1" ht="12" customHeight="1">
      <c r="A11" s="506" t="s">
        <v>103</v>
      </c>
      <c r="B11" s="8" t="s">
        <v>282</v>
      </c>
      <c r="C11" s="360"/>
    </row>
    <row r="12" spans="1:3" s="419" customFormat="1" ht="12" customHeight="1">
      <c r="A12" s="506" t="s">
        <v>104</v>
      </c>
      <c r="B12" s="8" t="s">
        <v>283</v>
      </c>
      <c r="C12" s="360"/>
    </row>
    <row r="13" spans="1:3" s="419" customFormat="1" ht="12" customHeight="1">
      <c r="A13" s="506" t="s">
        <v>152</v>
      </c>
      <c r="B13" s="8" t="s">
        <v>284</v>
      </c>
      <c r="C13" s="360"/>
    </row>
    <row r="14" spans="1:3" s="419" customFormat="1" ht="12" customHeight="1">
      <c r="A14" s="506" t="s">
        <v>105</v>
      </c>
      <c r="B14" s="8" t="s">
        <v>406</v>
      </c>
      <c r="C14" s="360"/>
    </row>
    <row r="15" spans="1:3" s="419" customFormat="1" ht="12" customHeight="1">
      <c r="A15" s="506" t="s">
        <v>106</v>
      </c>
      <c r="B15" s="7" t="s">
        <v>407</v>
      </c>
      <c r="C15" s="360"/>
    </row>
    <row r="16" spans="1:3" s="419" customFormat="1" ht="12" customHeight="1">
      <c r="A16" s="506" t="s">
        <v>116</v>
      </c>
      <c r="B16" s="8" t="s">
        <v>287</v>
      </c>
      <c r="C16" s="409"/>
    </row>
    <row r="17" spans="1:3" s="514" customFormat="1" ht="12" customHeight="1">
      <c r="A17" s="506" t="s">
        <v>117</v>
      </c>
      <c r="B17" s="8" t="s">
        <v>288</v>
      </c>
      <c r="C17" s="360"/>
    </row>
    <row r="18" spans="1:3" s="514" customFormat="1" ht="12" customHeight="1">
      <c r="A18" s="506" t="s">
        <v>118</v>
      </c>
      <c r="B18" s="8" t="s">
        <v>443</v>
      </c>
      <c r="C18" s="361"/>
    </row>
    <row r="19" spans="1:3" s="514" customFormat="1" ht="12" customHeight="1" thickBot="1">
      <c r="A19" s="506" t="s">
        <v>119</v>
      </c>
      <c r="B19" s="7" t="s">
        <v>289</v>
      </c>
      <c r="C19" s="361"/>
    </row>
    <row r="20" spans="1:3" s="419" customFormat="1" ht="12" customHeight="1" thickBot="1">
      <c r="A20" s="232" t="s">
        <v>20</v>
      </c>
      <c r="B20" s="276" t="s">
        <v>408</v>
      </c>
      <c r="C20" s="362">
        <f>SUM(C21:C23)</f>
        <v>0</v>
      </c>
    </row>
    <row r="21" spans="1:3" s="514" customFormat="1" ht="12" customHeight="1">
      <c r="A21" s="506" t="s">
        <v>107</v>
      </c>
      <c r="B21" s="9" t="s">
        <v>261</v>
      </c>
      <c r="C21" s="360"/>
    </row>
    <row r="22" spans="1:3" s="514" customFormat="1" ht="12" customHeight="1">
      <c r="A22" s="506" t="s">
        <v>108</v>
      </c>
      <c r="B22" s="8" t="s">
        <v>409</v>
      </c>
      <c r="C22" s="360"/>
    </row>
    <row r="23" spans="1:3" s="514" customFormat="1" ht="12" customHeight="1">
      <c r="A23" s="506" t="s">
        <v>109</v>
      </c>
      <c r="B23" s="8" t="s">
        <v>410</v>
      </c>
      <c r="C23" s="360"/>
    </row>
    <row r="24" spans="1:3" s="514" customFormat="1" ht="12" customHeight="1" thickBot="1">
      <c r="A24" s="506" t="s">
        <v>110</v>
      </c>
      <c r="B24" s="8" t="s">
        <v>531</v>
      </c>
      <c r="C24" s="360"/>
    </row>
    <row r="25" spans="1:3" s="514" customFormat="1" ht="12" customHeight="1" thickBot="1">
      <c r="A25" s="240" t="s">
        <v>21</v>
      </c>
      <c r="B25" s="151" t="s">
        <v>175</v>
      </c>
      <c r="C25" s="389"/>
    </row>
    <row r="26" spans="1:3" s="514" customFormat="1" ht="12" customHeight="1" thickBot="1">
      <c r="A26" s="240" t="s">
        <v>22</v>
      </c>
      <c r="B26" s="151" t="s">
        <v>411</v>
      </c>
      <c r="C26" s="362">
        <f>+C27+C28</f>
        <v>0</v>
      </c>
    </row>
    <row r="27" spans="1:3" s="514" customFormat="1" ht="12" customHeight="1">
      <c r="A27" s="507" t="s">
        <v>271</v>
      </c>
      <c r="B27" s="508" t="s">
        <v>409</v>
      </c>
      <c r="C27" s="95"/>
    </row>
    <row r="28" spans="1:3" s="514" customFormat="1" ht="12" customHeight="1">
      <c r="A28" s="507" t="s">
        <v>272</v>
      </c>
      <c r="B28" s="509" t="s">
        <v>412</v>
      </c>
      <c r="C28" s="363"/>
    </row>
    <row r="29" spans="1:3" s="514" customFormat="1" ht="12" customHeight="1" thickBot="1">
      <c r="A29" s="506" t="s">
        <v>273</v>
      </c>
      <c r="B29" s="169" t="s">
        <v>532</v>
      </c>
      <c r="C29" s="102"/>
    </row>
    <row r="30" spans="1:3" s="514" customFormat="1" ht="12" customHeight="1" thickBot="1">
      <c r="A30" s="240" t="s">
        <v>23</v>
      </c>
      <c r="B30" s="151" t="s">
        <v>413</v>
      </c>
      <c r="C30" s="362">
        <f>+C31+C32+C33</f>
        <v>0</v>
      </c>
    </row>
    <row r="31" spans="1:3" s="514" customFormat="1" ht="12" customHeight="1">
      <c r="A31" s="507" t="s">
        <v>94</v>
      </c>
      <c r="B31" s="508" t="s">
        <v>294</v>
      </c>
      <c r="C31" s="95"/>
    </row>
    <row r="32" spans="1:3" s="514" customFormat="1" ht="12" customHeight="1">
      <c r="A32" s="507" t="s">
        <v>95</v>
      </c>
      <c r="B32" s="509" t="s">
        <v>295</v>
      </c>
      <c r="C32" s="363"/>
    </row>
    <row r="33" spans="1:3" s="514" customFormat="1" ht="12" customHeight="1" thickBot="1">
      <c r="A33" s="506" t="s">
        <v>96</v>
      </c>
      <c r="B33" s="169" t="s">
        <v>296</v>
      </c>
      <c r="C33" s="102"/>
    </row>
    <row r="34" spans="1:3" s="419" customFormat="1" ht="12" customHeight="1" thickBot="1">
      <c r="A34" s="240" t="s">
        <v>24</v>
      </c>
      <c r="B34" s="151" t="s">
        <v>382</v>
      </c>
      <c r="C34" s="389"/>
    </row>
    <row r="35" spans="1:3" s="419" customFormat="1" ht="12" customHeight="1" thickBot="1">
      <c r="A35" s="240" t="s">
        <v>25</v>
      </c>
      <c r="B35" s="151" t="s">
        <v>414</v>
      </c>
      <c r="C35" s="410"/>
    </row>
    <row r="36" spans="1:3" s="419" customFormat="1" ht="12" customHeight="1" thickBot="1">
      <c r="A36" s="232" t="s">
        <v>26</v>
      </c>
      <c r="B36" s="151" t="s">
        <v>533</v>
      </c>
      <c r="C36" s="411">
        <f>+C8+C20+C25+C26+C30+C34+C35</f>
        <v>0</v>
      </c>
    </row>
    <row r="37" spans="1:3" s="419" customFormat="1" ht="12" customHeight="1" thickBot="1">
      <c r="A37" s="277" t="s">
        <v>27</v>
      </c>
      <c r="B37" s="151" t="s">
        <v>416</v>
      </c>
      <c r="C37" s="411">
        <f>+C38+C39+C40</f>
        <v>0</v>
      </c>
    </row>
    <row r="38" spans="1:3" s="419" customFormat="1" ht="12" customHeight="1">
      <c r="A38" s="507" t="s">
        <v>417</v>
      </c>
      <c r="B38" s="508" t="s">
        <v>239</v>
      </c>
      <c r="C38" s="95"/>
    </row>
    <row r="39" spans="1:3" s="419" customFormat="1" ht="12" customHeight="1">
      <c r="A39" s="507" t="s">
        <v>418</v>
      </c>
      <c r="B39" s="509" t="s">
        <v>2</v>
      </c>
      <c r="C39" s="363"/>
    </row>
    <row r="40" spans="1:3" s="514" customFormat="1" ht="12" customHeight="1" thickBot="1">
      <c r="A40" s="506" t="s">
        <v>419</v>
      </c>
      <c r="B40" s="169" t="s">
        <v>420</v>
      </c>
      <c r="C40" s="102"/>
    </row>
    <row r="41" spans="1:3" s="514" customFormat="1" ht="15" customHeight="1" thickBot="1">
      <c r="A41" s="277" t="s">
        <v>28</v>
      </c>
      <c r="B41" s="278" t="s">
        <v>421</v>
      </c>
      <c r="C41" s="414">
        <f>+C36+C37</f>
        <v>0</v>
      </c>
    </row>
    <row r="42" spans="1:3" s="514" customFormat="1" ht="15" customHeight="1">
      <c r="A42" s="279"/>
      <c r="B42" s="280"/>
      <c r="C42" s="412"/>
    </row>
    <row r="43" spans="1:3" ht="13.5" thickBot="1">
      <c r="A43" s="281"/>
      <c r="B43" s="282"/>
      <c r="C43" s="413"/>
    </row>
    <row r="44" spans="1:3" s="513" customFormat="1" ht="16.5" customHeight="1" thickBot="1">
      <c r="A44" s="283"/>
      <c r="B44" s="284" t="s">
        <v>59</v>
      </c>
      <c r="C44" s="414"/>
    </row>
    <row r="45" spans="1:3" s="515" customFormat="1" ht="12" customHeight="1" thickBot="1">
      <c r="A45" s="240" t="s">
        <v>19</v>
      </c>
      <c r="B45" s="151" t="s">
        <v>422</v>
      </c>
      <c r="C45" s="362">
        <f>SUM(C46:C50)</f>
        <v>0</v>
      </c>
    </row>
    <row r="46" spans="1:3" ht="12" customHeight="1">
      <c r="A46" s="506" t="s">
        <v>101</v>
      </c>
      <c r="B46" s="9" t="s">
        <v>50</v>
      </c>
      <c r="C46" s="95"/>
    </row>
    <row r="47" spans="1:3" ht="12" customHeight="1">
      <c r="A47" s="506" t="s">
        <v>102</v>
      </c>
      <c r="B47" s="8" t="s">
        <v>184</v>
      </c>
      <c r="C47" s="98"/>
    </row>
    <row r="48" spans="1:3" ht="12" customHeight="1">
      <c r="A48" s="506" t="s">
        <v>103</v>
      </c>
      <c r="B48" s="8" t="s">
        <v>144</v>
      </c>
      <c r="C48" s="98"/>
    </row>
    <row r="49" spans="1:3" ht="12" customHeight="1">
      <c r="A49" s="506" t="s">
        <v>104</v>
      </c>
      <c r="B49" s="8" t="s">
        <v>185</v>
      </c>
      <c r="C49" s="98"/>
    </row>
    <row r="50" spans="1:3" ht="12" customHeight="1" thickBot="1">
      <c r="A50" s="506" t="s">
        <v>152</v>
      </c>
      <c r="B50" s="8" t="s">
        <v>186</v>
      </c>
      <c r="C50" s="98"/>
    </row>
    <row r="51" spans="1:3" ht="12" customHeight="1" thickBot="1">
      <c r="A51" s="240" t="s">
        <v>20</v>
      </c>
      <c r="B51" s="151" t="s">
        <v>423</v>
      </c>
      <c r="C51" s="362">
        <f>SUM(C52:C54)</f>
        <v>0</v>
      </c>
    </row>
    <row r="52" spans="1:3" s="515" customFormat="1" ht="12" customHeight="1">
      <c r="A52" s="506" t="s">
        <v>107</v>
      </c>
      <c r="B52" s="9" t="s">
        <v>229</v>
      </c>
      <c r="C52" s="95"/>
    </row>
    <row r="53" spans="1:3" ht="12" customHeight="1">
      <c r="A53" s="506" t="s">
        <v>108</v>
      </c>
      <c r="B53" s="8" t="s">
        <v>188</v>
      </c>
      <c r="C53" s="98"/>
    </row>
    <row r="54" spans="1:3" ht="12" customHeight="1">
      <c r="A54" s="506" t="s">
        <v>109</v>
      </c>
      <c r="B54" s="8" t="s">
        <v>60</v>
      </c>
      <c r="C54" s="98"/>
    </row>
    <row r="55" spans="1:3" ht="12" customHeight="1" thickBot="1">
      <c r="A55" s="506" t="s">
        <v>110</v>
      </c>
      <c r="B55" s="8" t="s">
        <v>530</v>
      </c>
      <c r="C55" s="98"/>
    </row>
    <row r="56" spans="1:3" ht="15" customHeight="1" thickBot="1">
      <c r="A56" s="240" t="s">
        <v>21</v>
      </c>
      <c r="B56" s="151" t="s">
        <v>13</v>
      </c>
      <c r="C56" s="389"/>
    </row>
    <row r="57" spans="1:3" ht="13.5" thickBot="1">
      <c r="A57" s="240" t="s">
        <v>22</v>
      </c>
      <c r="B57" s="285" t="s">
        <v>537</v>
      </c>
      <c r="C57" s="415">
        <f>+C45+C51+C56</f>
        <v>0</v>
      </c>
    </row>
    <row r="58" ht="15" customHeight="1" thickBot="1">
      <c r="C58" s="416"/>
    </row>
    <row r="59" spans="1:3" ht="14.25" customHeight="1" thickBot="1">
      <c r="A59" s="288" t="s">
        <v>525</v>
      </c>
      <c r="B59" s="289"/>
      <c r="C59" s="148"/>
    </row>
    <row r="60" spans="1:3" ht="13.5" thickBot="1">
      <c r="A60" s="288" t="s">
        <v>207</v>
      </c>
      <c r="B60" s="289"/>
      <c r="C60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40">
      <selection activeCell="C5" sqref="C5"/>
    </sheetView>
  </sheetViews>
  <sheetFormatPr defaultColWidth="9.00390625" defaultRowHeight="12.75"/>
  <cols>
    <col min="1" max="1" width="13.875" style="286" customWidth="1"/>
    <col min="2" max="2" width="79.125" style="287" customWidth="1"/>
    <col min="3" max="3" width="25.00390625" style="287" customWidth="1"/>
    <col min="4" max="16384" width="9.375" style="287" customWidth="1"/>
  </cols>
  <sheetData>
    <row r="1" spans="1:3" s="266" customFormat="1" ht="21" customHeight="1" thickBot="1">
      <c r="A1" s="265"/>
      <c r="B1" s="267"/>
      <c r="C1" s="510" t="str">
        <f>+CONCATENATE("9.4. melléklet a ……/",LEFT(ÖSSZEFÜGGÉSEK!A5,4),". (….) önkormányzati rendelethez")</f>
        <v>9.4. melléklet a ……/2016. (….) önkormányzati rendelethez</v>
      </c>
    </row>
    <row r="2" spans="1:3" s="511" customFormat="1" ht="25.5" customHeight="1">
      <c r="A2" s="461" t="s">
        <v>205</v>
      </c>
      <c r="B2" s="403" t="s">
        <v>577</v>
      </c>
      <c r="C2" s="417" t="s">
        <v>438</v>
      </c>
    </row>
    <row r="3" spans="1:3" s="511" customFormat="1" ht="24.75" thickBot="1">
      <c r="A3" s="504" t="s">
        <v>204</v>
      </c>
      <c r="B3" s="404" t="s">
        <v>405</v>
      </c>
      <c r="C3" s="418"/>
    </row>
    <row r="4" spans="1:3" s="512" customFormat="1" ht="15.75" customHeight="1" thickBot="1">
      <c r="A4" s="269"/>
      <c r="B4" s="269"/>
      <c r="C4" s="270" t="s">
        <v>583</v>
      </c>
    </row>
    <row r="5" spans="1:3" ht="13.5" thickBot="1">
      <c r="A5" s="462" t="s">
        <v>206</v>
      </c>
      <c r="B5" s="271" t="s">
        <v>572</v>
      </c>
      <c r="C5" s="272" t="s">
        <v>57</v>
      </c>
    </row>
    <row r="6" spans="1:3" s="513" customFormat="1" ht="12.75" customHeight="1" thickBot="1">
      <c r="A6" s="232"/>
      <c r="B6" s="233" t="s">
        <v>499</v>
      </c>
      <c r="C6" s="234" t="s">
        <v>500</v>
      </c>
    </row>
    <row r="7" spans="1:3" s="513" customFormat="1" ht="15.75" customHeight="1" thickBot="1">
      <c r="A7" s="273"/>
      <c r="B7" s="274" t="s">
        <v>58</v>
      </c>
      <c r="C7" s="275"/>
    </row>
    <row r="8" spans="1:3" s="419" customFormat="1" ht="12" customHeight="1" thickBot="1">
      <c r="A8" s="232" t="s">
        <v>19</v>
      </c>
      <c r="B8" s="276" t="s">
        <v>526</v>
      </c>
      <c r="C8" s="362">
        <f>SUM(C9:C19)</f>
        <v>25588100</v>
      </c>
    </row>
    <row r="9" spans="1:3" s="419" customFormat="1" ht="12" customHeight="1">
      <c r="A9" s="505" t="s">
        <v>101</v>
      </c>
      <c r="B9" s="10" t="s">
        <v>280</v>
      </c>
      <c r="C9" s="591">
        <f>'9.4.1. sz. mell ILMKS'!C9+'9.4.2. sz. mell ILMKS'!C9+'9.4.3. sz. mell ILMKS'!C9</f>
        <v>709000</v>
      </c>
    </row>
    <row r="10" spans="1:3" s="419" customFormat="1" ht="12" customHeight="1">
      <c r="A10" s="506" t="s">
        <v>102</v>
      </c>
      <c r="B10" s="8" t="s">
        <v>281</v>
      </c>
      <c r="C10" s="360">
        <f>'9.4.1. sz. mell ILMKS'!C10+'9.4.2. sz. mell ILMKS'!C10+'9.4.3. sz. mell ILMKS'!C10</f>
        <v>18588100</v>
      </c>
    </row>
    <row r="11" spans="1:3" s="419" customFormat="1" ht="12" customHeight="1">
      <c r="A11" s="506" t="s">
        <v>103</v>
      </c>
      <c r="B11" s="8" t="s">
        <v>282</v>
      </c>
      <c r="C11" s="409">
        <f>'9.4.1. sz. mell ILMKS'!C11+'9.4.2. sz. mell ILMKS'!C11+'9.4.3. sz. mell ILMKS'!C11</f>
        <v>308000</v>
      </c>
    </row>
    <row r="12" spans="1:3" s="419" customFormat="1" ht="12" customHeight="1">
      <c r="A12" s="506" t="s">
        <v>104</v>
      </c>
      <c r="B12" s="8" t="s">
        <v>283</v>
      </c>
      <c r="C12" s="360">
        <f>'9.4.1. sz. mell ILMKS'!C12+'9.4.2. sz. mell ILMKS'!C12+'9.4.3. sz. mell ILMKS'!C12</f>
        <v>0</v>
      </c>
    </row>
    <row r="13" spans="1:3" s="419" customFormat="1" ht="12" customHeight="1">
      <c r="A13" s="506" t="s">
        <v>152</v>
      </c>
      <c r="B13" s="8" t="s">
        <v>284</v>
      </c>
      <c r="C13" s="409">
        <f>'9.4.1. sz. mell ILMKS'!C13+'9.4.2. sz. mell ILMKS'!C13+'9.4.3. sz. mell ILMKS'!C13</f>
        <v>0</v>
      </c>
    </row>
    <row r="14" spans="1:3" s="419" customFormat="1" ht="12" customHeight="1">
      <c r="A14" s="506" t="s">
        <v>105</v>
      </c>
      <c r="B14" s="8" t="s">
        <v>406</v>
      </c>
      <c r="C14" s="360">
        <f>'9.4.1. sz. mell ILMKS'!C14+'9.4.2. sz. mell ILMKS'!C14+'9.4.3. sz. mell ILMKS'!C14</f>
        <v>2983000</v>
      </c>
    </row>
    <row r="15" spans="1:3" s="419" customFormat="1" ht="12" customHeight="1">
      <c r="A15" s="506" t="s">
        <v>106</v>
      </c>
      <c r="B15" s="7" t="s">
        <v>407</v>
      </c>
      <c r="C15" s="409">
        <f>'9.4.1. sz. mell ILMKS'!C15+'9.4.2. sz. mell ILMKS'!C15+'9.4.3. sz. mell ILMKS'!C15</f>
        <v>3000000</v>
      </c>
    </row>
    <row r="16" spans="1:3" s="419" customFormat="1" ht="12" customHeight="1">
      <c r="A16" s="506" t="s">
        <v>116</v>
      </c>
      <c r="B16" s="8" t="s">
        <v>287</v>
      </c>
      <c r="C16" s="360">
        <f>'9.4.1. sz. mell ILMKS'!C16+'9.4.2. sz. mell ILMKS'!C16+'9.4.3. sz. mell ILMKS'!C16</f>
        <v>0</v>
      </c>
    </row>
    <row r="17" spans="1:3" s="514" customFormat="1" ht="12" customHeight="1">
      <c r="A17" s="506" t="s">
        <v>117</v>
      </c>
      <c r="B17" s="8" t="s">
        <v>288</v>
      </c>
      <c r="C17" s="409">
        <f>'9.4.1. sz. mell ILMKS'!C17+'9.4.2. sz. mell ILMKS'!C17+'9.4.3. sz. mell ILMKS'!C17</f>
        <v>0</v>
      </c>
    </row>
    <row r="18" spans="1:3" s="514" customFormat="1" ht="12" customHeight="1">
      <c r="A18" s="506" t="s">
        <v>118</v>
      </c>
      <c r="B18" s="8" t="s">
        <v>443</v>
      </c>
      <c r="C18" s="360">
        <f>'9.4.1. sz. mell ILMKS'!C18+'9.4.2. sz. mell ILMKS'!C18+'9.4.3. sz. mell ILMKS'!C18</f>
        <v>0</v>
      </c>
    </row>
    <row r="19" spans="1:3" s="514" customFormat="1" ht="12" customHeight="1" thickBot="1">
      <c r="A19" s="506" t="s">
        <v>119</v>
      </c>
      <c r="B19" s="7" t="s">
        <v>289</v>
      </c>
      <c r="C19" s="359">
        <f>'9.4.1. sz. mell ILMKS'!C19+'9.4.2. sz. mell ILMKS'!C19+'9.4.3. sz. mell ILMKS'!C19</f>
        <v>0</v>
      </c>
    </row>
    <row r="20" spans="1:3" s="419" customFormat="1" ht="12" customHeight="1" thickBot="1">
      <c r="A20" s="232" t="s">
        <v>20</v>
      </c>
      <c r="B20" s="276" t="s">
        <v>408</v>
      </c>
      <c r="C20" s="362">
        <f>SUM(C21:C23)</f>
        <v>0</v>
      </c>
    </row>
    <row r="21" spans="1:3" s="514" customFormat="1" ht="12" customHeight="1">
      <c r="A21" s="506" t="s">
        <v>107</v>
      </c>
      <c r="B21" s="9" t="s">
        <v>261</v>
      </c>
      <c r="C21" s="360"/>
    </row>
    <row r="22" spans="1:3" s="514" customFormat="1" ht="12" customHeight="1">
      <c r="A22" s="506" t="s">
        <v>108</v>
      </c>
      <c r="B22" s="8" t="s">
        <v>409</v>
      </c>
      <c r="C22" s="360"/>
    </row>
    <row r="23" spans="1:3" s="514" customFormat="1" ht="12" customHeight="1">
      <c r="A23" s="506" t="s">
        <v>109</v>
      </c>
      <c r="B23" s="8" t="s">
        <v>410</v>
      </c>
      <c r="C23" s="360"/>
    </row>
    <row r="24" spans="1:3" s="514" customFormat="1" ht="12" customHeight="1" thickBot="1">
      <c r="A24" s="506" t="s">
        <v>110</v>
      </c>
      <c r="B24" s="8" t="s">
        <v>531</v>
      </c>
      <c r="C24" s="360"/>
    </row>
    <row r="25" spans="1:3" s="514" customFormat="1" ht="12" customHeight="1" thickBot="1">
      <c r="A25" s="240" t="s">
        <v>21</v>
      </c>
      <c r="B25" s="151" t="s">
        <v>175</v>
      </c>
      <c r="C25" s="389"/>
    </row>
    <row r="26" spans="1:3" s="514" customFormat="1" ht="12" customHeight="1" thickBot="1">
      <c r="A26" s="240" t="s">
        <v>22</v>
      </c>
      <c r="B26" s="151" t="s">
        <v>411</v>
      </c>
      <c r="C26" s="362">
        <f>+C27+C28</f>
        <v>0</v>
      </c>
    </row>
    <row r="27" spans="1:3" s="514" customFormat="1" ht="12" customHeight="1">
      <c r="A27" s="507" t="s">
        <v>271</v>
      </c>
      <c r="B27" s="508" t="s">
        <v>409</v>
      </c>
      <c r="C27" s="95"/>
    </row>
    <row r="28" spans="1:3" s="514" customFormat="1" ht="12" customHeight="1">
      <c r="A28" s="507" t="s">
        <v>272</v>
      </c>
      <c r="B28" s="509" t="s">
        <v>412</v>
      </c>
      <c r="C28" s="363"/>
    </row>
    <row r="29" spans="1:3" s="514" customFormat="1" ht="12" customHeight="1" thickBot="1">
      <c r="A29" s="506" t="s">
        <v>273</v>
      </c>
      <c r="B29" s="169" t="s">
        <v>532</v>
      </c>
      <c r="C29" s="102"/>
    </row>
    <row r="30" spans="1:3" s="514" customFormat="1" ht="12" customHeight="1" thickBot="1">
      <c r="A30" s="240" t="s">
        <v>23</v>
      </c>
      <c r="B30" s="151" t="s">
        <v>413</v>
      </c>
      <c r="C30" s="362">
        <f>+C31+C32+C33</f>
        <v>0</v>
      </c>
    </row>
    <row r="31" spans="1:3" s="514" customFormat="1" ht="12" customHeight="1">
      <c r="A31" s="507" t="s">
        <v>94</v>
      </c>
      <c r="B31" s="508" t="s">
        <v>294</v>
      </c>
      <c r="C31" s="95"/>
    </row>
    <row r="32" spans="1:3" s="514" customFormat="1" ht="12" customHeight="1">
      <c r="A32" s="507" t="s">
        <v>95</v>
      </c>
      <c r="B32" s="509" t="s">
        <v>295</v>
      </c>
      <c r="C32" s="363"/>
    </row>
    <row r="33" spans="1:3" s="514" customFormat="1" ht="12" customHeight="1" thickBot="1">
      <c r="A33" s="506" t="s">
        <v>96</v>
      </c>
      <c r="B33" s="169" t="s">
        <v>296</v>
      </c>
      <c r="C33" s="102"/>
    </row>
    <row r="34" spans="1:3" s="419" customFormat="1" ht="12" customHeight="1" thickBot="1">
      <c r="A34" s="240" t="s">
        <v>24</v>
      </c>
      <c r="B34" s="151" t="s">
        <v>382</v>
      </c>
      <c r="C34" s="389"/>
    </row>
    <row r="35" spans="1:3" s="419" customFormat="1" ht="12" customHeight="1" thickBot="1">
      <c r="A35" s="240" t="s">
        <v>25</v>
      </c>
      <c r="B35" s="151" t="s">
        <v>414</v>
      </c>
      <c r="C35" s="410"/>
    </row>
    <row r="36" spans="1:3" s="419" customFormat="1" ht="12" customHeight="1" thickBot="1">
      <c r="A36" s="232" t="s">
        <v>26</v>
      </c>
      <c r="B36" s="151" t="s">
        <v>533</v>
      </c>
      <c r="C36" s="411">
        <f>+C8+C20+C25+C26+C30+C34+C35</f>
        <v>25588100</v>
      </c>
    </row>
    <row r="37" spans="1:3" s="419" customFormat="1" ht="12" customHeight="1" thickBot="1">
      <c r="A37" s="277" t="s">
        <v>27</v>
      </c>
      <c r="B37" s="151" t="s">
        <v>416</v>
      </c>
      <c r="C37" s="411">
        <f>+C38+C39+C40</f>
        <v>57450736</v>
      </c>
    </row>
    <row r="38" spans="1:3" s="419" customFormat="1" ht="12" customHeight="1">
      <c r="A38" s="507" t="s">
        <v>417</v>
      </c>
      <c r="B38" s="508" t="s">
        <v>239</v>
      </c>
      <c r="C38" s="95"/>
    </row>
    <row r="39" spans="1:3" s="419" customFormat="1" ht="12" customHeight="1">
      <c r="A39" s="507" t="s">
        <v>418</v>
      </c>
      <c r="B39" s="509" t="s">
        <v>2</v>
      </c>
      <c r="C39" s="363"/>
    </row>
    <row r="40" spans="1:3" s="514" customFormat="1" ht="12" customHeight="1" thickBot="1">
      <c r="A40" s="506" t="s">
        <v>419</v>
      </c>
      <c r="B40" s="169" t="s">
        <v>420</v>
      </c>
      <c r="C40" s="102">
        <f>'9.4.1. sz. mell ILMKS'!C40+'9.4.2. sz. mell ILMKS'!C40+'9.4.3. sz. mell ILMKS'!C40</f>
        <v>57450736</v>
      </c>
    </row>
    <row r="41" spans="1:3" s="514" customFormat="1" ht="15" customHeight="1" thickBot="1">
      <c r="A41" s="277" t="s">
        <v>28</v>
      </c>
      <c r="B41" s="278" t="s">
        <v>421</v>
      </c>
      <c r="C41" s="414">
        <f>+C36+C37</f>
        <v>83038836</v>
      </c>
    </row>
    <row r="42" spans="1:3" s="514" customFormat="1" ht="15" customHeight="1">
      <c r="A42" s="279"/>
      <c r="B42" s="280"/>
      <c r="C42" s="412"/>
    </row>
    <row r="43" spans="1:3" ht="13.5" thickBot="1">
      <c r="A43" s="281"/>
      <c r="B43" s="282"/>
      <c r="C43" s="413"/>
    </row>
    <row r="44" spans="1:3" s="513" customFormat="1" ht="16.5" customHeight="1" thickBot="1">
      <c r="A44" s="283"/>
      <c r="B44" s="284" t="s">
        <v>59</v>
      </c>
      <c r="C44" s="414"/>
    </row>
    <row r="45" spans="1:3" s="515" customFormat="1" ht="12" customHeight="1" thickBot="1">
      <c r="A45" s="240" t="s">
        <v>19</v>
      </c>
      <c r="B45" s="151" t="s">
        <v>422</v>
      </c>
      <c r="C45" s="362">
        <f>SUM(C46:C50)</f>
        <v>83038836</v>
      </c>
    </row>
    <row r="46" spans="1:3" ht="12" customHeight="1">
      <c r="A46" s="506" t="s">
        <v>101</v>
      </c>
      <c r="B46" s="9" t="s">
        <v>50</v>
      </c>
      <c r="C46" s="95">
        <f>'9.4.1. sz. mell ILMKS'!C46+'9.4.2. sz. mell ILMKS'!C46+'9.4.3. sz. mell ILMKS'!C46</f>
        <v>25070000</v>
      </c>
    </row>
    <row r="47" spans="1:3" ht="12" customHeight="1">
      <c r="A47" s="506" t="s">
        <v>102</v>
      </c>
      <c r="B47" s="8" t="s">
        <v>184</v>
      </c>
      <c r="C47" s="95">
        <f>'9.4.1. sz. mell ILMKS'!C47+'9.4.2. sz. mell ILMKS'!C47+'9.4.3. sz. mell ILMKS'!C47</f>
        <v>6766000</v>
      </c>
    </row>
    <row r="48" spans="1:3" ht="12" customHeight="1">
      <c r="A48" s="506" t="s">
        <v>103</v>
      </c>
      <c r="B48" s="8" t="s">
        <v>144</v>
      </c>
      <c r="C48" s="95">
        <f>'9.4.1. sz. mell ILMKS'!C48+'9.4.2. sz. mell ILMKS'!C48+'9.4.3. sz. mell ILMKS'!C48</f>
        <v>51202836</v>
      </c>
    </row>
    <row r="49" spans="1:3" ht="12" customHeight="1">
      <c r="A49" s="506" t="s">
        <v>104</v>
      </c>
      <c r="B49" s="8" t="s">
        <v>185</v>
      </c>
      <c r="C49" s="95">
        <f>'9.4.1. sz. mell ILMKS'!C49+'9.4.2. sz. mell ILMKS'!C49+'9.4.3. sz. mell ILMKS'!C49</f>
        <v>0</v>
      </c>
    </row>
    <row r="50" spans="1:3" ht="12" customHeight="1" thickBot="1">
      <c r="A50" s="506" t="s">
        <v>152</v>
      </c>
      <c r="B50" s="8" t="s">
        <v>186</v>
      </c>
      <c r="C50" s="95">
        <f>'9.4.1. sz. mell ILMKS'!C50+'9.4.2. sz. mell ILMKS'!C50+'9.4.3. sz. mell ILMKS'!C50</f>
        <v>0</v>
      </c>
    </row>
    <row r="51" spans="1:3" ht="12" customHeight="1" thickBot="1">
      <c r="A51" s="240" t="s">
        <v>20</v>
      </c>
      <c r="B51" s="151" t="s">
        <v>423</v>
      </c>
      <c r="C51" s="362">
        <f>SUM(C52:C54)</f>
        <v>0</v>
      </c>
    </row>
    <row r="52" spans="1:3" s="515" customFormat="1" ht="12" customHeight="1">
      <c r="A52" s="506" t="s">
        <v>107</v>
      </c>
      <c r="B52" s="9" t="s">
        <v>229</v>
      </c>
      <c r="C52" s="95">
        <f>'9.4.1. sz. mell ILMKS'!C52+'9.4.2. sz. mell ILMKS'!C52+'9.4.3. sz. mell ILMKS'!C52</f>
        <v>0</v>
      </c>
    </row>
    <row r="53" spans="1:3" ht="12" customHeight="1">
      <c r="A53" s="506" t="s">
        <v>108</v>
      </c>
      <c r="B53" s="8" t="s">
        <v>188</v>
      </c>
      <c r="C53" s="95">
        <f>'9.4.1. sz. mell ILMKS'!C53+'9.4.2. sz. mell ILMKS'!C53+'9.4.3. sz. mell ILMKS'!C53</f>
        <v>0</v>
      </c>
    </row>
    <row r="54" spans="1:3" ht="12" customHeight="1">
      <c r="A54" s="506" t="s">
        <v>109</v>
      </c>
      <c r="B54" s="8" t="s">
        <v>60</v>
      </c>
      <c r="C54" s="95">
        <f>'9.4.1. sz. mell ILMKS'!C54+'9.4.2. sz. mell ILMKS'!C54+'9.4.3. sz. mell ILMKS'!C54</f>
        <v>0</v>
      </c>
    </row>
    <row r="55" spans="1:3" ht="12" customHeight="1" thickBot="1">
      <c r="A55" s="506" t="s">
        <v>110</v>
      </c>
      <c r="B55" s="8" t="s">
        <v>530</v>
      </c>
      <c r="C55" s="95">
        <f>'9.4.1. sz. mell ILMKS'!C55+'9.4.2. sz. mell ILMKS'!C55+'9.4.3. sz. mell ILMKS'!C55</f>
        <v>0</v>
      </c>
    </row>
    <row r="56" spans="1:3" ht="15" customHeight="1" thickBot="1">
      <c r="A56" s="240" t="s">
        <v>21</v>
      </c>
      <c r="B56" s="151" t="s">
        <v>13</v>
      </c>
      <c r="C56" s="389"/>
    </row>
    <row r="57" spans="1:3" ht="13.5" thickBot="1">
      <c r="A57" s="240" t="s">
        <v>22</v>
      </c>
      <c r="B57" s="285" t="s">
        <v>537</v>
      </c>
      <c r="C57" s="415">
        <f>+C45+C51+C56</f>
        <v>83038836</v>
      </c>
    </row>
    <row r="58" ht="15" customHeight="1" thickBot="1">
      <c r="C58" s="416"/>
    </row>
    <row r="59" spans="1:3" ht="14.25" customHeight="1" thickBot="1">
      <c r="A59" s="288" t="s">
        <v>525</v>
      </c>
      <c r="B59" s="289"/>
      <c r="C59" s="148"/>
    </row>
    <row r="60" spans="1:3" ht="13.5" thickBot="1">
      <c r="A60" s="288" t="s">
        <v>207</v>
      </c>
      <c r="B60" s="289"/>
      <c r="C60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40">
      <selection activeCell="C59" sqref="C59"/>
    </sheetView>
  </sheetViews>
  <sheetFormatPr defaultColWidth="9.00390625" defaultRowHeight="12.75"/>
  <cols>
    <col min="1" max="1" width="13.875" style="286" customWidth="1"/>
    <col min="2" max="2" width="79.125" style="287" customWidth="1"/>
    <col min="3" max="3" width="25.00390625" style="287" customWidth="1"/>
    <col min="4" max="16384" width="9.375" style="287" customWidth="1"/>
  </cols>
  <sheetData>
    <row r="1" spans="1:3" s="266" customFormat="1" ht="21" customHeight="1" thickBot="1">
      <c r="A1" s="265"/>
      <c r="B1" s="267"/>
      <c r="C1" s="510" t="str">
        <f>+CONCATENATE("9.4.1. melléklet a ……/",LEFT(ÖSSZEFÜGGÉSEK!A5,4),". (….) önkormányzati rendelethez")</f>
        <v>9.4.1. melléklet a ……/2016. (….) önkormányzati rendelethez</v>
      </c>
    </row>
    <row r="2" spans="1:3" s="511" customFormat="1" ht="25.5" customHeight="1">
      <c r="A2" s="461" t="s">
        <v>205</v>
      </c>
      <c r="B2" s="403" t="s">
        <v>577</v>
      </c>
      <c r="C2" s="417" t="s">
        <v>438</v>
      </c>
    </row>
    <row r="3" spans="1:3" s="511" customFormat="1" ht="24.75" thickBot="1">
      <c r="A3" s="504" t="s">
        <v>204</v>
      </c>
      <c r="B3" s="404" t="s">
        <v>424</v>
      </c>
      <c r="C3" s="418" t="s">
        <v>55</v>
      </c>
    </row>
    <row r="4" spans="1:3" s="512" customFormat="1" ht="15.75" customHeight="1" thickBot="1">
      <c r="A4" s="269"/>
      <c r="B4" s="269"/>
      <c r="C4" s="270" t="s">
        <v>583</v>
      </c>
    </row>
    <row r="5" spans="1:3" ht="13.5" thickBot="1">
      <c r="A5" s="462" t="s">
        <v>206</v>
      </c>
      <c r="B5" s="271" t="s">
        <v>572</v>
      </c>
      <c r="C5" s="272" t="s">
        <v>57</v>
      </c>
    </row>
    <row r="6" spans="1:3" s="513" customFormat="1" ht="12.75" customHeight="1" thickBot="1">
      <c r="A6" s="232"/>
      <c r="B6" s="233" t="s">
        <v>499</v>
      </c>
      <c r="C6" s="234" t="s">
        <v>500</v>
      </c>
    </row>
    <row r="7" spans="1:3" s="513" customFormat="1" ht="15.75" customHeight="1" thickBot="1">
      <c r="A7" s="273"/>
      <c r="B7" s="274" t="s">
        <v>58</v>
      </c>
      <c r="C7" s="275"/>
    </row>
    <row r="8" spans="1:3" s="419" customFormat="1" ht="12" customHeight="1" thickBot="1">
      <c r="A8" s="232" t="s">
        <v>19</v>
      </c>
      <c r="B8" s="276" t="s">
        <v>526</v>
      </c>
      <c r="C8" s="362">
        <f>SUM(C9:C19)</f>
        <v>24688100</v>
      </c>
    </row>
    <row r="9" spans="1:3" s="419" customFormat="1" ht="12" customHeight="1">
      <c r="A9" s="505" t="s">
        <v>101</v>
      </c>
      <c r="B9" s="10" t="s">
        <v>280</v>
      </c>
      <c r="C9" s="408"/>
    </row>
    <row r="10" spans="1:3" s="419" customFormat="1" ht="12" customHeight="1">
      <c r="A10" s="506" t="s">
        <v>102</v>
      </c>
      <c r="B10" s="8" t="s">
        <v>281</v>
      </c>
      <c r="C10" s="360">
        <v>18588100</v>
      </c>
    </row>
    <row r="11" spans="1:3" s="419" customFormat="1" ht="12" customHeight="1">
      <c r="A11" s="506" t="s">
        <v>103</v>
      </c>
      <c r="B11" s="8" t="s">
        <v>282</v>
      </c>
      <c r="C11" s="360">
        <v>308000</v>
      </c>
    </row>
    <row r="12" spans="1:3" s="419" customFormat="1" ht="12" customHeight="1">
      <c r="A12" s="506" t="s">
        <v>104</v>
      </c>
      <c r="B12" s="8" t="s">
        <v>283</v>
      </c>
      <c r="C12" s="360"/>
    </row>
    <row r="13" spans="1:3" s="419" customFormat="1" ht="12" customHeight="1">
      <c r="A13" s="506" t="s">
        <v>152</v>
      </c>
      <c r="B13" s="8" t="s">
        <v>284</v>
      </c>
      <c r="C13" s="360"/>
    </row>
    <row r="14" spans="1:3" s="419" customFormat="1" ht="12" customHeight="1">
      <c r="A14" s="506" t="s">
        <v>105</v>
      </c>
      <c r="B14" s="8" t="s">
        <v>406</v>
      </c>
      <c r="C14" s="360">
        <v>2792000</v>
      </c>
    </row>
    <row r="15" spans="1:3" s="419" customFormat="1" ht="12" customHeight="1">
      <c r="A15" s="506" t="s">
        <v>106</v>
      </c>
      <c r="B15" s="7" t="s">
        <v>407</v>
      </c>
      <c r="C15" s="360">
        <v>3000000</v>
      </c>
    </row>
    <row r="16" spans="1:3" s="419" customFormat="1" ht="12" customHeight="1">
      <c r="A16" s="506" t="s">
        <v>116</v>
      </c>
      <c r="B16" s="8" t="s">
        <v>287</v>
      </c>
      <c r="C16" s="409"/>
    </row>
    <row r="17" spans="1:3" s="514" customFormat="1" ht="12" customHeight="1">
      <c r="A17" s="506" t="s">
        <v>117</v>
      </c>
      <c r="B17" s="8" t="s">
        <v>288</v>
      </c>
      <c r="C17" s="360"/>
    </row>
    <row r="18" spans="1:3" s="514" customFormat="1" ht="12" customHeight="1">
      <c r="A18" s="506" t="s">
        <v>118</v>
      </c>
      <c r="B18" s="8" t="s">
        <v>443</v>
      </c>
      <c r="C18" s="361"/>
    </row>
    <row r="19" spans="1:3" s="514" customFormat="1" ht="12" customHeight="1" thickBot="1">
      <c r="A19" s="506" t="s">
        <v>119</v>
      </c>
      <c r="B19" s="7" t="s">
        <v>289</v>
      </c>
      <c r="C19" s="361"/>
    </row>
    <row r="20" spans="1:3" s="419" customFormat="1" ht="12" customHeight="1" thickBot="1">
      <c r="A20" s="232" t="s">
        <v>20</v>
      </c>
      <c r="B20" s="276" t="s">
        <v>408</v>
      </c>
      <c r="C20" s="362">
        <f>SUM(C21:C23)</f>
        <v>0</v>
      </c>
    </row>
    <row r="21" spans="1:3" s="514" customFormat="1" ht="12" customHeight="1">
      <c r="A21" s="506" t="s">
        <v>107</v>
      </c>
      <c r="B21" s="9" t="s">
        <v>261</v>
      </c>
      <c r="C21" s="360"/>
    </row>
    <row r="22" spans="1:3" s="514" customFormat="1" ht="12" customHeight="1">
      <c r="A22" s="506" t="s">
        <v>108</v>
      </c>
      <c r="B22" s="8" t="s">
        <v>409</v>
      </c>
      <c r="C22" s="360"/>
    </row>
    <row r="23" spans="1:3" s="514" customFormat="1" ht="12" customHeight="1">
      <c r="A23" s="506" t="s">
        <v>109</v>
      </c>
      <c r="B23" s="8" t="s">
        <v>410</v>
      </c>
      <c r="C23" s="360"/>
    </row>
    <row r="24" spans="1:3" s="514" customFormat="1" ht="12" customHeight="1" thickBot="1">
      <c r="A24" s="506" t="s">
        <v>110</v>
      </c>
      <c r="B24" s="8" t="s">
        <v>531</v>
      </c>
      <c r="C24" s="360"/>
    </row>
    <row r="25" spans="1:3" s="514" customFormat="1" ht="12" customHeight="1" thickBot="1">
      <c r="A25" s="240" t="s">
        <v>21</v>
      </c>
      <c r="B25" s="151" t="s">
        <v>175</v>
      </c>
      <c r="C25" s="389"/>
    </row>
    <row r="26" spans="1:3" s="514" customFormat="1" ht="12" customHeight="1" thickBot="1">
      <c r="A26" s="240" t="s">
        <v>22</v>
      </c>
      <c r="B26" s="151" t="s">
        <v>411</v>
      </c>
      <c r="C26" s="362">
        <f>+C27+C28</f>
        <v>0</v>
      </c>
    </row>
    <row r="27" spans="1:3" s="514" customFormat="1" ht="12" customHeight="1">
      <c r="A27" s="507" t="s">
        <v>271</v>
      </c>
      <c r="B27" s="508" t="s">
        <v>409</v>
      </c>
      <c r="C27" s="95"/>
    </row>
    <row r="28" spans="1:3" s="514" customFormat="1" ht="12" customHeight="1">
      <c r="A28" s="507" t="s">
        <v>272</v>
      </c>
      <c r="B28" s="509" t="s">
        <v>412</v>
      </c>
      <c r="C28" s="363"/>
    </row>
    <row r="29" spans="1:3" s="514" customFormat="1" ht="12" customHeight="1" thickBot="1">
      <c r="A29" s="506" t="s">
        <v>273</v>
      </c>
      <c r="B29" s="169" t="s">
        <v>532</v>
      </c>
      <c r="C29" s="102"/>
    </row>
    <row r="30" spans="1:3" s="514" customFormat="1" ht="12" customHeight="1" thickBot="1">
      <c r="A30" s="240" t="s">
        <v>23</v>
      </c>
      <c r="B30" s="151" t="s">
        <v>413</v>
      </c>
      <c r="C30" s="362">
        <f>+C31+C32+C33</f>
        <v>0</v>
      </c>
    </row>
    <row r="31" spans="1:3" s="514" customFormat="1" ht="12" customHeight="1">
      <c r="A31" s="507" t="s">
        <v>94</v>
      </c>
      <c r="B31" s="508" t="s">
        <v>294</v>
      </c>
      <c r="C31" s="95"/>
    </row>
    <row r="32" spans="1:3" s="514" customFormat="1" ht="12" customHeight="1">
      <c r="A32" s="507" t="s">
        <v>95</v>
      </c>
      <c r="B32" s="509" t="s">
        <v>295</v>
      </c>
      <c r="C32" s="363"/>
    </row>
    <row r="33" spans="1:3" s="514" customFormat="1" ht="12" customHeight="1" thickBot="1">
      <c r="A33" s="506" t="s">
        <v>96</v>
      </c>
      <c r="B33" s="169" t="s">
        <v>296</v>
      </c>
      <c r="C33" s="102"/>
    </row>
    <row r="34" spans="1:3" s="419" customFormat="1" ht="12" customHeight="1" thickBot="1">
      <c r="A34" s="240" t="s">
        <v>24</v>
      </c>
      <c r="B34" s="151" t="s">
        <v>382</v>
      </c>
      <c r="C34" s="389"/>
    </row>
    <row r="35" spans="1:3" s="419" customFormat="1" ht="12" customHeight="1" thickBot="1">
      <c r="A35" s="240" t="s">
        <v>25</v>
      </c>
      <c r="B35" s="151" t="s">
        <v>414</v>
      </c>
      <c r="C35" s="410"/>
    </row>
    <row r="36" spans="1:3" s="419" customFormat="1" ht="12" customHeight="1" thickBot="1">
      <c r="A36" s="232" t="s">
        <v>26</v>
      </c>
      <c r="B36" s="151" t="s">
        <v>533</v>
      </c>
      <c r="C36" s="411">
        <f>+C8+C20+C25+C26+C30+C34+C35</f>
        <v>24688100</v>
      </c>
    </row>
    <row r="37" spans="1:3" s="419" customFormat="1" ht="12" customHeight="1" thickBot="1">
      <c r="A37" s="277" t="s">
        <v>27</v>
      </c>
      <c r="B37" s="151" t="s">
        <v>416</v>
      </c>
      <c r="C37" s="411">
        <f>+C38+C39+C40</f>
        <v>57450736</v>
      </c>
    </row>
    <row r="38" spans="1:3" s="419" customFormat="1" ht="12" customHeight="1">
      <c r="A38" s="507" t="s">
        <v>417</v>
      </c>
      <c r="B38" s="508" t="s">
        <v>239</v>
      </c>
      <c r="C38" s="95"/>
    </row>
    <row r="39" spans="1:3" s="419" customFormat="1" ht="12" customHeight="1">
      <c r="A39" s="507" t="s">
        <v>418</v>
      </c>
      <c r="B39" s="509" t="s">
        <v>2</v>
      </c>
      <c r="C39" s="363"/>
    </row>
    <row r="40" spans="1:3" s="514" customFormat="1" ht="12" customHeight="1" thickBot="1">
      <c r="A40" s="506" t="s">
        <v>419</v>
      </c>
      <c r="B40" s="169" t="s">
        <v>420</v>
      </c>
      <c r="C40" s="102">
        <f>C57-C36</f>
        <v>57450736</v>
      </c>
    </row>
    <row r="41" spans="1:3" s="514" customFormat="1" ht="15" customHeight="1" thickBot="1">
      <c r="A41" s="277" t="s">
        <v>28</v>
      </c>
      <c r="B41" s="278" t="s">
        <v>421</v>
      </c>
      <c r="C41" s="414">
        <f>+C36+C37</f>
        <v>82138836</v>
      </c>
    </row>
    <row r="42" spans="1:3" s="514" customFormat="1" ht="15" customHeight="1">
      <c r="A42" s="279"/>
      <c r="B42" s="280"/>
      <c r="C42" s="412"/>
    </row>
    <row r="43" spans="1:3" ht="13.5" thickBot="1">
      <c r="A43" s="281"/>
      <c r="B43" s="282"/>
      <c r="C43" s="413"/>
    </row>
    <row r="44" spans="1:3" s="513" customFormat="1" ht="16.5" customHeight="1" thickBot="1">
      <c r="A44" s="283"/>
      <c r="B44" s="284" t="s">
        <v>59</v>
      </c>
      <c r="C44" s="414"/>
    </row>
    <row r="45" spans="1:3" s="515" customFormat="1" ht="12" customHeight="1" thickBot="1">
      <c r="A45" s="240" t="s">
        <v>19</v>
      </c>
      <c r="B45" s="151" t="s">
        <v>422</v>
      </c>
      <c r="C45" s="362">
        <f>SUM(C46:C50)</f>
        <v>82138836</v>
      </c>
    </row>
    <row r="46" spans="1:3" ht="12" customHeight="1">
      <c r="A46" s="506" t="s">
        <v>101</v>
      </c>
      <c r="B46" s="9" t="s">
        <v>50</v>
      </c>
      <c r="C46" s="95">
        <v>25070000</v>
      </c>
    </row>
    <row r="47" spans="1:3" ht="12" customHeight="1">
      <c r="A47" s="506" t="s">
        <v>102</v>
      </c>
      <c r="B47" s="8" t="s">
        <v>184</v>
      </c>
      <c r="C47" s="98">
        <v>6766000</v>
      </c>
    </row>
    <row r="48" spans="1:3" ht="12" customHeight="1">
      <c r="A48" s="506" t="s">
        <v>103</v>
      </c>
      <c r="B48" s="8" t="s">
        <v>144</v>
      </c>
      <c r="C48" s="98">
        <v>50302836</v>
      </c>
    </row>
    <row r="49" spans="1:3" ht="12" customHeight="1">
      <c r="A49" s="506" t="s">
        <v>104</v>
      </c>
      <c r="B49" s="8" t="s">
        <v>185</v>
      </c>
      <c r="C49" s="98"/>
    </row>
    <row r="50" spans="1:3" ht="12" customHeight="1" thickBot="1">
      <c r="A50" s="506" t="s">
        <v>152</v>
      </c>
      <c r="B50" s="8" t="s">
        <v>186</v>
      </c>
      <c r="C50" s="98"/>
    </row>
    <row r="51" spans="1:3" ht="12" customHeight="1" thickBot="1">
      <c r="A51" s="240" t="s">
        <v>20</v>
      </c>
      <c r="B51" s="151" t="s">
        <v>423</v>
      </c>
      <c r="C51" s="362">
        <f>SUM(C52:C54)</f>
        <v>0</v>
      </c>
    </row>
    <row r="52" spans="1:3" s="515" customFormat="1" ht="12" customHeight="1">
      <c r="A52" s="506" t="s">
        <v>107</v>
      </c>
      <c r="B52" s="9" t="s">
        <v>229</v>
      </c>
      <c r="C52" s="95"/>
    </row>
    <row r="53" spans="1:3" ht="12" customHeight="1">
      <c r="A53" s="506" t="s">
        <v>108</v>
      </c>
      <c r="B53" s="8" t="s">
        <v>188</v>
      </c>
      <c r="C53" s="98"/>
    </row>
    <row r="54" spans="1:3" ht="12" customHeight="1">
      <c r="A54" s="506" t="s">
        <v>109</v>
      </c>
      <c r="B54" s="8" t="s">
        <v>60</v>
      </c>
      <c r="C54" s="98"/>
    </row>
    <row r="55" spans="1:3" ht="12" customHeight="1" thickBot="1">
      <c r="A55" s="506" t="s">
        <v>110</v>
      </c>
      <c r="B55" s="8" t="s">
        <v>530</v>
      </c>
      <c r="C55" s="98"/>
    </row>
    <row r="56" spans="1:3" ht="15" customHeight="1" thickBot="1">
      <c r="A56" s="240" t="s">
        <v>21</v>
      </c>
      <c r="B56" s="151" t="s">
        <v>13</v>
      </c>
      <c r="C56" s="389"/>
    </row>
    <row r="57" spans="1:3" ht="13.5" thickBot="1">
      <c r="A57" s="240" t="s">
        <v>22</v>
      </c>
      <c r="B57" s="285" t="s">
        <v>537</v>
      </c>
      <c r="C57" s="415">
        <f>+C45+C51+C56</f>
        <v>82138836</v>
      </c>
    </row>
    <row r="58" ht="15" customHeight="1" thickBot="1">
      <c r="C58" s="416"/>
    </row>
    <row r="59" spans="1:3" ht="14.25" customHeight="1" thickBot="1">
      <c r="A59" s="288" t="s">
        <v>525</v>
      </c>
      <c r="B59" s="289"/>
      <c r="C59" s="148"/>
    </row>
    <row r="60" spans="1:3" ht="13.5" thickBot="1">
      <c r="A60" s="288" t="s">
        <v>207</v>
      </c>
      <c r="B60" s="289"/>
      <c r="C60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C49" sqref="C49"/>
    </sheetView>
  </sheetViews>
  <sheetFormatPr defaultColWidth="9.00390625" defaultRowHeight="12.75"/>
  <cols>
    <col min="1" max="1" width="13.875" style="286" customWidth="1"/>
    <col min="2" max="2" width="79.125" style="287" customWidth="1"/>
    <col min="3" max="3" width="25.00390625" style="287" customWidth="1"/>
    <col min="4" max="16384" width="9.375" style="287" customWidth="1"/>
  </cols>
  <sheetData>
    <row r="1" spans="1:3" s="266" customFormat="1" ht="21" customHeight="1" thickBot="1">
      <c r="A1" s="265"/>
      <c r="B1" s="267"/>
      <c r="C1" s="510" t="str">
        <f>+CONCATENATE("9.4.2. melléklet a ……/",LEFT(ÖSSZEFÜGGÉSEK!A5,4),". (….) önkormányzati rendelethez")</f>
        <v>9.4.2. melléklet a ……/2016. (….) önkormányzati rendelethez</v>
      </c>
    </row>
    <row r="2" spans="1:3" s="511" customFormat="1" ht="25.5" customHeight="1">
      <c r="A2" s="461" t="s">
        <v>205</v>
      </c>
      <c r="B2" s="403" t="s">
        <v>577</v>
      </c>
      <c r="C2" s="417" t="s">
        <v>438</v>
      </c>
    </row>
    <row r="3" spans="1:3" s="511" customFormat="1" ht="24.75" thickBot="1">
      <c r="A3" s="504" t="s">
        <v>204</v>
      </c>
      <c r="B3" s="404" t="s">
        <v>425</v>
      </c>
      <c r="C3" s="418" t="s">
        <v>61</v>
      </c>
    </row>
    <row r="4" spans="1:3" s="512" customFormat="1" ht="15.75" customHeight="1" thickBot="1">
      <c r="A4" s="269"/>
      <c r="B4" s="269"/>
      <c r="C4" s="270" t="s">
        <v>583</v>
      </c>
    </row>
    <row r="5" spans="1:3" ht="13.5" thickBot="1">
      <c r="A5" s="462" t="s">
        <v>206</v>
      </c>
      <c r="B5" s="271" t="s">
        <v>572</v>
      </c>
      <c r="C5" s="272" t="s">
        <v>57</v>
      </c>
    </row>
    <row r="6" spans="1:3" s="513" customFormat="1" ht="12.75" customHeight="1" thickBot="1">
      <c r="A6" s="232"/>
      <c r="B6" s="233" t="s">
        <v>499</v>
      </c>
      <c r="C6" s="234" t="s">
        <v>500</v>
      </c>
    </row>
    <row r="7" spans="1:3" s="513" customFormat="1" ht="15.75" customHeight="1" thickBot="1">
      <c r="A7" s="273"/>
      <c r="B7" s="274" t="s">
        <v>58</v>
      </c>
      <c r="C7" s="275"/>
    </row>
    <row r="8" spans="1:3" s="419" customFormat="1" ht="12" customHeight="1" thickBot="1">
      <c r="A8" s="232" t="s">
        <v>19</v>
      </c>
      <c r="B8" s="276" t="s">
        <v>526</v>
      </c>
      <c r="C8" s="362">
        <f>SUM(C9:C19)</f>
        <v>900000</v>
      </c>
    </row>
    <row r="9" spans="1:3" s="419" customFormat="1" ht="12" customHeight="1">
      <c r="A9" s="505" t="s">
        <v>101</v>
      </c>
      <c r="B9" s="10" t="s">
        <v>280</v>
      </c>
      <c r="C9" s="408">
        <v>709000</v>
      </c>
    </row>
    <row r="10" spans="1:3" s="419" customFormat="1" ht="12" customHeight="1">
      <c r="A10" s="506" t="s">
        <v>102</v>
      </c>
      <c r="B10" s="8" t="s">
        <v>281</v>
      </c>
      <c r="C10" s="360"/>
    </row>
    <row r="11" spans="1:3" s="419" customFormat="1" ht="12" customHeight="1">
      <c r="A11" s="506" t="s">
        <v>103</v>
      </c>
      <c r="B11" s="8" t="s">
        <v>282</v>
      </c>
      <c r="C11" s="360"/>
    </row>
    <row r="12" spans="1:3" s="419" customFormat="1" ht="12" customHeight="1">
      <c r="A12" s="506" t="s">
        <v>104</v>
      </c>
      <c r="B12" s="8" t="s">
        <v>283</v>
      </c>
      <c r="C12" s="360"/>
    </row>
    <row r="13" spans="1:3" s="419" customFormat="1" ht="12" customHeight="1">
      <c r="A13" s="506" t="s">
        <v>152</v>
      </c>
      <c r="B13" s="8" t="s">
        <v>284</v>
      </c>
      <c r="C13" s="360"/>
    </row>
    <row r="14" spans="1:3" s="419" customFormat="1" ht="12" customHeight="1">
      <c r="A14" s="506" t="s">
        <v>105</v>
      </c>
      <c r="B14" s="8" t="s">
        <v>406</v>
      </c>
      <c r="C14" s="360">
        <v>191000</v>
      </c>
    </row>
    <row r="15" spans="1:3" s="419" customFormat="1" ht="12" customHeight="1">
      <c r="A15" s="506" t="s">
        <v>106</v>
      </c>
      <c r="B15" s="7" t="s">
        <v>407</v>
      </c>
      <c r="C15" s="360"/>
    </row>
    <row r="16" spans="1:3" s="419" customFormat="1" ht="12" customHeight="1">
      <c r="A16" s="506" t="s">
        <v>116</v>
      </c>
      <c r="B16" s="8" t="s">
        <v>287</v>
      </c>
      <c r="C16" s="409"/>
    </row>
    <row r="17" spans="1:3" s="514" customFormat="1" ht="12" customHeight="1">
      <c r="A17" s="506" t="s">
        <v>117</v>
      </c>
      <c r="B17" s="8" t="s">
        <v>288</v>
      </c>
      <c r="C17" s="360"/>
    </row>
    <row r="18" spans="1:3" s="514" customFormat="1" ht="12" customHeight="1">
      <c r="A18" s="506" t="s">
        <v>118</v>
      </c>
      <c r="B18" s="8" t="s">
        <v>443</v>
      </c>
      <c r="C18" s="361"/>
    </row>
    <row r="19" spans="1:3" s="514" customFormat="1" ht="12" customHeight="1" thickBot="1">
      <c r="A19" s="506" t="s">
        <v>119</v>
      </c>
      <c r="B19" s="7" t="s">
        <v>289</v>
      </c>
      <c r="C19" s="361"/>
    </row>
    <row r="20" spans="1:3" s="419" customFormat="1" ht="12" customHeight="1" thickBot="1">
      <c r="A20" s="232" t="s">
        <v>20</v>
      </c>
      <c r="B20" s="276" t="s">
        <v>408</v>
      </c>
      <c r="C20" s="362">
        <f>SUM(C21:C23)</f>
        <v>0</v>
      </c>
    </row>
    <row r="21" spans="1:3" s="514" customFormat="1" ht="12" customHeight="1">
      <c r="A21" s="506" t="s">
        <v>107</v>
      </c>
      <c r="B21" s="9" t="s">
        <v>261</v>
      </c>
      <c r="C21" s="360"/>
    </row>
    <row r="22" spans="1:3" s="514" customFormat="1" ht="12" customHeight="1">
      <c r="A22" s="506" t="s">
        <v>108</v>
      </c>
      <c r="B22" s="8" t="s">
        <v>409</v>
      </c>
      <c r="C22" s="360"/>
    </row>
    <row r="23" spans="1:3" s="514" customFormat="1" ht="12" customHeight="1">
      <c r="A23" s="506" t="s">
        <v>109</v>
      </c>
      <c r="B23" s="8" t="s">
        <v>410</v>
      </c>
      <c r="C23" s="360"/>
    </row>
    <row r="24" spans="1:3" s="514" customFormat="1" ht="12" customHeight="1" thickBot="1">
      <c r="A24" s="506" t="s">
        <v>110</v>
      </c>
      <c r="B24" s="8" t="s">
        <v>531</v>
      </c>
      <c r="C24" s="360"/>
    </row>
    <row r="25" spans="1:3" s="514" customFormat="1" ht="12" customHeight="1" thickBot="1">
      <c r="A25" s="240" t="s">
        <v>21</v>
      </c>
      <c r="B25" s="151" t="s">
        <v>175</v>
      </c>
      <c r="C25" s="389"/>
    </row>
    <row r="26" spans="1:3" s="514" customFormat="1" ht="12" customHeight="1" thickBot="1">
      <c r="A26" s="240" t="s">
        <v>22</v>
      </c>
      <c r="B26" s="151" t="s">
        <v>411</v>
      </c>
      <c r="C26" s="362">
        <f>+C27+C28</f>
        <v>0</v>
      </c>
    </row>
    <row r="27" spans="1:3" s="514" customFormat="1" ht="12" customHeight="1">
      <c r="A27" s="507" t="s">
        <v>271</v>
      </c>
      <c r="B27" s="508" t="s">
        <v>409</v>
      </c>
      <c r="C27" s="95"/>
    </row>
    <row r="28" spans="1:3" s="514" customFormat="1" ht="12" customHeight="1">
      <c r="A28" s="507" t="s">
        <v>272</v>
      </c>
      <c r="B28" s="509" t="s">
        <v>412</v>
      </c>
      <c r="C28" s="363"/>
    </row>
    <row r="29" spans="1:3" s="514" customFormat="1" ht="12" customHeight="1" thickBot="1">
      <c r="A29" s="506" t="s">
        <v>273</v>
      </c>
      <c r="B29" s="169" t="s">
        <v>532</v>
      </c>
      <c r="C29" s="102"/>
    </row>
    <row r="30" spans="1:3" s="514" customFormat="1" ht="12" customHeight="1" thickBot="1">
      <c r="A30" s="240" t="s">
        <v>23</v>
      </c>
      <c r="B30" s="151" t="s">
        <v>413</v>
      </c>
      <c r="C30" s="362">
        <f>+C31+C32+C33</f>
        <v>0</v>
      </c>
    </row>
    <row r="31" spans="1:3" s="514" customFormat="1" ht="12" customHeight="1">
      <c r="A31" s="507" t="s">
        <v>94</v>
      </c>
      <c r="B31" s="508" t="s">
        <v>294</v>
      </c>
      <c r="C31" s="95"/>
    </row>
    <row r="32" spans="1:3" s="514" customFormat="1" ht="12" customHeight="1">
      <c r="A32" s="507" t="s">
        <v>95</v>
      </c>
      <c r="B32" s="509" t="s">
        <v>295</v>
      </c>
      <c r="C32" s="363"/>
    </row>
    <row r="33" spans="1:3" s="514" customFormat="1" ht="12" customHeight="1" thickBot="1">
      <c r="A33" s="506" t="s">
        <v>96</v>
      </c>
      <c r="B33" s="169" t="s">
        <v>296</v>
      </c>
      <c r="C33" s="102"/>
    </row>
    <row r="34" spans="1:3" s="419" customFormat="1" ht="12" customHeight="1" thickBot="1">
      <c r="A34" s="240" t="s">
        <v>24</v>
      </c>
      <c r="B34" s="151" t="s">
        <v>382</v>
      </c>
      <c r="C34" s="389"/>
    </row>
    <row r="35" spans="1:3" s="419" customFormat="1" ht="12" customHeight="1" thickBot="1">
      <c r="A35" s="240" t="s">
        <v>25</v>
      </c>
      <c r="B35" s="151" t="s">
        <v>414</v>
      </c>
      <c r="C35" s="410"/>
    </row>
    <row r="36" spans="1:3" s="419" customFormat="1" ht="12" customHeight="1" thickBot="1">
      <c r="A36" s="232" t="s">
        <v>26</v>
      </c>
      <c r="B36" s="151" t="s">
        <v>533</v>
      </c>
      <c r="C36" s="411">
        <f>+C8+C20+C25+C26+C30+C34+C35</f>
        <v>900000</v>
      </c>
    </row>
    <row r="37" spans="1:3" s="419" customFormat="1" ht="12" customHeight="1" thickBot="1">
      <c r="A37" s="277" t="s">
        <v>27</v>
      </c>
      <c r="B37" s="151" t="s">
        <v>416</v>
      </c>
      <c r="C37" s="411">
        <f>+C38+C39+C40</f>
        <v>0</v>
      </c>
    </row>
    <row r="38" spans="1:3" s="419" customFormat="1" ht="12" customHeight="1">
      <c r="A38" s="507" t="s">
        <v>417</v>
      </c>
      <c r="B38" s="508" t="s">
        <v>239</v>
      </c>
      <c r="C38" s="95"/>
    </row>
    <row r="39" spans="1:3" s="419" customFormat="1" ht="12" customHeight="1">
      <c r="A39" s="507" t="s">
        <v>418</v>
      </c>
      <c r="B39" s="509" t="s">
        <v>2</v>
      </c>
      <c r="C39" s="363"/>
    </row>
    <row r="40" spans="1:3" s="514" customFormat="1" ht="12" customHeight="1" thickBot="1">
      <c r="A40" s="506" t="s">
        <v>419</v>
      </c>
      <c r="B40" s="169" t="s">
        <v>420</v>
      </c>
      <c r="C40" s="102"/>
    </row>
    <row r="41" spans="1:3" s="514" customFormat="1" ht="15" customHeight="1" thickBot="1">
      <c r="A41" s="277" t="s">
        <v>28</v>
      </c>
      <c r="B41" s="278" t="s">
        <v>421</v>
      </c>
      <c r="C41" s="414">
        <f>+C36+C37</f>
        <v>900000</v>
      </c>
    </row>
    <row r="42" spans="1:3" s="514" customFormat="1" ht="15" customHeight="1">
      <c r="A42" s="279"/>
      <c r="B42" s="280"/>
      <c r="C42" s="412"/>
    </row>
    <row r="43" spans="1:3" ht="13.5" thickBot="1">
      <c r="A43" s="281"/>
      <c r="B43" s="282"/>
      <c r="C43" s="413"/>
    </row>
    <row r="44" spans="1:3" s="513" customFormat="1" ht="16.5" customHeight="1" thickBot="1">
      <c r="A44" s="283"/>
      <c r="B44" s="284" t="s">
        <v>59</v>
      </c>
      <c r="C44" s="414"/>
    </row>
    <row r="45" spans="1:3" s="515" customFormat="1" ht="12" customHeight="1" thickBot="1">
      <c r="A45" s="240" t="s">
        <v>19</v>
      </c>
      <c r="B45" s="151" t="s">
        <v>422</v>
      </c>
      <c r="C45" s="362">
        <f>SUM(C46:C50)</f>
        <v>900000</v>
      </c>
    </row>
    <row r="46" spans="1:3" ht="12" customHeight="1">
      <c r="A46" s="506" t="s">
        <v>101</v>
      </c>
      <c r="B46" s="9" t="s">
        <v>50</v>
      </c>
      <c r="C46" s="95"/>
    </row>
    <row r="47" spans="1:3" ht="12" customHeight="1">
      <c r="A47" s="506" t="s">
        <v>102</v>
      </c>
      <c r="B47" s="8" t="s">
        <v>184</v>
      </c>
      <c r="C47" s="98"/>
    </row>
    <row r="48" spans="1:3" ht="12" customHeight="1">
      <c r="A48" s="506" t="s">
        <v>103</v>
      </c>
      <c r="B48" s="8" t="s">
        <v>144</v>
      </c>
      <c r="C48" s="98">
        <v>900000</v>
      </c>
    </row>
    <row r="49" spans="1:3" ht="12" customHeight="1">
      <c r="A49" s="506" t="s">
        <v>104</v>
      </c>
      <c r="B49" s="8" t="s">
        <v>185</v>
      </c>
      <c r="C49" s="98"/>
    </row>
    <row r="50" spans="1:3" ht="12" customHeight="1" thickBot="1">
      <c r="A50" s="506" t="s">
        <v>152</v>
      </c>
      <c r="B50" s="8" t="s">
        <v>186</v>
      </c>
      <c r="C50" s="98"/>
    </row>
    <row r="51" spans="1:3" ht="12" customHeight="1" thickBot="1">
      <c r="A51" s="240" t="s">
        <v>20</v>
      </c>
      <c r="B51" s="151" t="s">
        <v>423</v>
      </c>
      <c r="C51" s="362">
        <f>SUM(C52:C54)</f>
        <v>0</v>
      </c>
    </row>
    <row r="52" spans="1:3" s="515" customFormat="1" ht="12" customHeight="1">
      <c r="A52" s="506" t="s">
        <v>107</v>
      </c>
      <c r="B52" s="9" t="s">
        <v>229</v>
      </c>
      <c r="C52" s="95"/>
    </row>
    <row r="53" spans="1:3" ht="12" customHeight="1">
      <c r="A53" s="506" t="s">
        <v>108</v>
      </c>
      <c r="B53" s="8" t="s">
        <v>188</v>
      </c>
      <c r="C53" s="98"/>
    </row>
    <row r="54" spans="1:3" ht="12" customHeight="1">
      <c r="A54" s="506" t="s">
        <v>109</v>
      </c>
      <c r="B54" s="8" t="s">
        <v>60</v>
      </c>
      <c r="C54" s="98"/>
    </row>
    <row r="55" spans="1:3" ht="12" customHeight="1" thickBot="1">
      <c r="A55" s="506" t="s">
        <v>110</v>
      </c>
      <c r="B55" s="8" t="s">
        <v>530</v>
      </c>
      <c r="C55" s="98"/>
    </row>
    <row r="56" spans="1:3" ht="15" customHeight="1" thickBot="1">
      <c r="A56" s="240" t="s">
        <v>21</v>
      </c>
      <c r="B56" s="151" t="s">
        <v>13</v>
      </c>
      <c r="C56" s="389"/>
    </row>
    <row r="57" spans="1:3" ht="13.5" thickBot="1">
      <c r="A57" s="240" t="s">
        <v>22</v>
      </c>
      <c r="B57" s="285" t="s">
        <v>537</v>
      </c>
      <c r="C57" s="415">
        <f>+C45+C51+C56</f>
        <v>900000</v>
      </c>
    </row>
    <row r="58" ht="15" customHeight="1" thickBot="1">
      <c r="C58" s="416"/>
    </row>
    <row r="59" spans="1:3" ht="14.25" customHeight="1" thickBot="1">
      <c r="A59" s="288" t="s">
        <v>525</v>
      </c>
      <c r="B59" s="289"/>
      <c r="C59" s="148"/>
    </row>
    <row r="60" spans="1:3" ht="13.5" thickBot="1">
      <c r="A60" s="288" t="s">
        <v>207</v>
      </c>
      <c r="B60" s="289"/>
      <c r="C60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BreakPreview" zoomScaleNormal="130" zoomScaleSheetLayoutView="100" workbookViewId="0" topLeftCell="A29">
      <selection activeCell="C29" sqref="C29"/>
    </sheetView>
  </sheetViews>
  <sheetFormatPr defaultColWidth="9.00390625" defaultRowHeight="12.75"/>
  <cols>
    <col min="1" max="1" width="9.50390625" style="434" customWidth="1"/>
    <col min="2" max="2" width="91.625" style="434" customWidth="1"/>
    <col min="3" max="3" width="21.625" style="435" customWidth="1"/>
    <col min="4" max="4" width="9.00390625" style="468" customWidth="1"/>
    <col min="5" max="16384" width="9.375" style="468" customWidth="1"/>
  </cols>
  <sheetData>
    <row r="1" spans="1:3" ht="15.75" customHeight="1">
      <c r="A1" s="620" t="s">
        <v>16</v>
      </c>
      <c r="B1" s="620"/>
      <c r="C1" s="620"/>
    </row>
    <row r="2" spans="1:3" ht="15.75" customHeight="1" thickBot="1">
      <c r="A2" s="621" t="s">
        <v>156</v>
      </c>
      <c r="B2" s="621"/>
      <c r="C2" s="352" t="s">
        <v>585</v>
      </c>
    </row>
    <row r="3" spans="1:3" ht="37.5" customHeight="1" thickBot="1">
      <c r="A3" s="23" t="s">
        <v>72</v>
      </c>
      <c r="B3" s="24" t="s">
        <v>18</v>
      </c>
      <c r="C3" s="45" t="str">
        <f>+CONCATENATE(LEFT(ÖSSZEFÜGGÉSEK!A5,4),". évi előirányzat")</f>
        <v>2016. évi előirányzat</v>
      </c>
    </row>
    <row r="4" spans="1:3" s="469" customFormat="1" ht="12" customHeight="1" thickBot="1">
      <c r="A4" s="463"/>
      <c r="B4" s="464" t="s">
        <v>499</v>
      </c>
      <c r="C4" s="465" t="s">
        <v>500</v>
      </c>
    </row>
    <row r="5" spans="1:3" s="470" customFormat="1" ht="12" customHeight="1" thickBot="1">
      <c r="A5" s="20" t="s">
        <v>19</v>
      </c>
      <c r="B5" s="21" t="s">
        <v>255</v>
      </c>
      <c r="C5" s="342">
        <f>+C6+C7+C8+C9+C10+C11</f>
        <v>840689736</v>
      </c>
    </row>
    <row r="6" spans="1:3" s="470" customFormat="1" ht="12" customHeight="1">
      <c r="A6" s="15" t="s">
        <v>101</v>
      </c>
      <c r="B6" s="471" t="s">
        <v>256</v>
      </c>
      <c r="C6" s="345">
        <f>'9.1.1. sz. mell ÖNK'!C9</f>
        <v>165437120</v>
      </c>
    </row>
    <row r="7" spans="1:3" s="470" customFormat="1" ht="12" customHeight="1">
      <c r="A7" s="14" t="s">
        <v>102</v>
      </c>
      <c r="B7" s="472" t="s">
        <v>257</v>
      </c>
      <c r="C7" s="345">
        <f>'9.1.1. sz. mell ÖNK'!C10</f>
        <v>109277466</v>
      </c>
    </row>
    <row r="8" spans="1:3" s="470" customFormat="1" ht="12" customHeight="1">
      <c r="A8" s="14" t="s">
        <v>103</v>
      </c>
      <c r="B8" s="472" t="s">
        <v>558</v>
      </c>
      <c r="C8" s="345">
        <f>'9.1.1. sz. mell ÖNK'!C11</f>
        <v>176005244</v>
      </c>
    </row>
    <row r="9" spans="1:3" s="470" customFormat="1" ht="12" customHeight="1">
      <c r="A9" s="14" t="s">
        <v>104</v>
      </c>
      <c r="B9" s="472" t="s">
        <v>259</v>
      </c>
      <c r="C9" s="345">
        <f>'9.1.1. sz. mell ÖNK'!C12</f>
        <v>8016480</v>
      </c>
    </row>
    <row r="10" spans="1:3" s="470" customFormat="1" ht="12" customHeight="1">
      <c r="A10" s="14" t="s">
        <v>152</v>
      </c>
      <c r="B10" s="338" t="s">
        <v>439</v>
      </c>
      <c r="C10" s="345">
        <f>'9.1.1. sz. mell ÖNK'!C13</f>
        <v>376281448</v>
      </c>
    </row>
    <row r="11" spans="1:3" s="470" customFormat="1" ht="12" customHeight="1" thickBot="1">
      <c r="A11" s="16" t="s">
        <v>105</v>
      </c>
      <c r="B11" s="339" t="s">
        <v>440</v>
      </c>
      <c r="C11" s="345">
        <f>'9.1.1. sz. mell ÖNK'!C14</f>
        <v>5671978</v>
      </c>
    </row>
    <row r="12" spans="1:3" s="470" customFormat="1" ht="12" customHeight="1" thickBot="1">
      <c r="A12" s="20" t="s">
        <v>20</v>
      </c>
      <c r="B12" s="337" t="s">
        <v>260</v>
      </c>
      <c r="C12" s="342">
        <f>+C13+C14+C15+C16+C17</f>
        <v>0</v>
      </c>
    </row>
    <row r="13" spans="1:3" s="470" customFormat="1" ht="12" customHeight="1">
      <c r="A13" s="15" t="s">
        <v>107</v>
      </c>
      <c r="B13" s="471" t="s">
        <v>261</v>
      </c>
      <c r="C13" s="345">
        <f>'9.1.1. sz. mell ÖNK'!C16</f>
        <v>0</v>
      </c>
    </row>
    <row r="14" spans="1:3" s="470" customFormat="1" ht="12" customHeight="1">
      <c r="A14" s="14" t="s">
        <v>108</v>
      </c>
      <c r="B14" s="472" t="s">
        <v>262</v>
      </c>
      <c r="C14" s="345">
        <f>'9.1.1. sz. mell ÖNK'!C17</f>
        <v>0</v>
      </c>
    </row>
    <row r="15" spans="1:3" s="470" customFormat="1" ht="12" customHeight="1">
      <c r="A15" s="14" t="s">
        <v>109</v>
      </c>
      <c r="B15" s="472" t="s">
        <v>429</v>
      </c>
      <c r="C15" s="345">
        <f>'9.1.1. sz. mell ÖNK'!C18</f>
        <v>0</v>
      </c>
    </row>
    <row r="16" spans="1:3" s="470" customFormat="1" ht="12" customHeight="1">
      <c r="A16" s="14" t="s">
        <v>110</v>
      </c>
      <c r="B16" s="472" t="s">
        <v>430</v>
      </c>
      <c r="C16" s="345">
        <f>'9.1.1. sz. mell ÖNK'!C19</f>
        <v>0</v>
      </c>
    </row>
    <row r="17" spans="1:3" s="470" customFormat="1" ht="12" customHeight="1">
      <c r="A17" s="14" t="s">
        <v>111</v>
      </c>
      <c r="B17" s="472" t="s">
        <v>263</v>
      </c>
      <c r="C17" s="345">
        <f>'9.1.1. sz. mell ÖNK'!C20</f>
        <v>0</v>
      </c>
    </row>
    <row r="18" spans="1:3" s="470" customFormat="1" ht="12" customHeight="1" thickBot="1">
      <c r="A18" s="16" t="s">
        <v>120</v>
      </c>
      <c r="B18" s="339" t="s">
        <v>264</v>
      </c>
      <c r="C18" s="345">
        <f>'9.1.1. sz. mell ÖNK'!C21</f>
        <v>0</v>
      </c>
    </row>
    <row r="19" spans="1:3" s="470" customFormat="1" ht="12" customHeight="1" thickBot="1">
      <c r="A19" s="20" t="s">
        <v>21</v>
      </c>
      <c r="B19" s="21" t="s">
        <v>265</v>
      </c>
      <c r="C19" s="342">
        <f>+C20+C21+C22+C23+C24</f>
        <v>0</v>
      </c>
    </row>
    <row r="20" spans="1:3" s="470" customFormat="1" ht="12" customHeight="1">
      <c r="A20" s="15" t="s">
        <v>90</v>
      </c>
      <c r="B20" s="471" t="s">
        <v>266</v>
      </c>
      <c r="C20" s="345">
        <f>'9.1.1. sz. mell ÖNK'!C23</f>
        <v>0</v>
      </c>
    </row>
    <row r="21" spans="1:3" s="470" customFormat="1" ht="12" customHeight="1">
      <c r="A21" s="14" t="s">
        <v>91</v>
      </c>
      <c r="B21" s="472" t="s">
        <v>267</v>
      </c>
      <c r="C21" s="345">
        <f>'9.1.1. sz. mell ÖNK'!C24</f>
        <v>0</v>
      </c>
    </row>
    <row r="22" spans="1:3" s="470" customFormat="1" ht="12" customHeight="1">
      <c r="A22" s="14" t="s">
        <v>92</v>
      </c>
      <c r="B22" s="472" t="s">
        <v>431</v>
      </c>
      <c r="C22" s="345">
        <f>'9.1.1. sz. mell ÖNK'!C25</f>
        <v>0</v>
      </c>
    </row>
    <row r="23" spans="1:3" s="470" customFormat="1" ht="12" customHeight="1">
      <c r="A23" s="14" t="s">
        <v>93</v>
      </c>
      <c r="B23" s="472" t="s">
        <v>432</v>
      </c>
      <c r="C23" s="345">
        <f>'9.1.1. sz. mell ÖNK'!C26</f>
        <v>0</v>
      </c>
    </row>
    <row r="24" spans="1:3" s="470" customFormat="1" ht="12" customHeight="1">
      <c r="A24" s="14" t="s">
        <v>172</v>
      </c>
      <c r="B24" s="472" t="s">
        <v>268</v>
      </c>
      <c r="C24" s="345">
        <f>'9.1.1. sz. mell ÖNK'!C27</f>
        <v>0</v>
      </c>
    </row>
    <row r="25" spans="1:3" s="470" customFormat="1" ht="12" customHeight="1" thickBot="1">
      <c r="A25" s="16" t="s">
        <v>173</v>
      </c>
      <c r="B25" s="473" t="s">
        <v>269</v>
      </c>
      <c r="C25" s="345">
        <f>'9.1.1. sz. mell ÖNK'!C28</f>
        <v>0</v>
      </c>
    </row>
    <row r="26" spans="1:3" s="470" customFormat="1" ht="12" customHeight="1" thickBot="1">
      <c r="A26" s="20" t="s">
        <v>174</v>
      </c>
      <c r="B26" s="21" t="s">
        <v>569</v>
      </c>
      <c r="C26" s="348">
        <f>SUM(C27:C33)+'9.2.1. sz. mell HIV'!C25</f>
        <v>84090000</v>
      </c>
    </row>
    <row r="27" spans="1:3" s="470" customFormat="1" ht="12" customHeight="1">
      <c r="A27" s="15" t="s">
        <v>271</v>
      </c>
      <c r="B27" s="471" t="s">
        <v>563</v>
      </c>
      <c r="C27" s="345">
        <f>'9.1.1. sz. mell ÖNK'!C30</f>
        <v>0</v>
      </c>
    </row>
    <row r="28" spans="1:3" s="470" customFormat="1" ht="12" customHeight="1">
      <c r="A28" s="14" t="s">
        <v>272</v>
      </c>
      <c r="B28" s="472" t="s">
        <v>564</v>
      </c>
      <c r="C28" s="345">
        <f>'9.1.1. sz. mell ÖNK'!C31</f>
        <v>0</v>
      </c>
    </row>
    <row r="29" spans="1:3" s="470" customFormat="1" ht="12" customHeight="1">
      <c r="A29" s="14" t="s">
        <v>273</v>
      </c>
      <c r="B29" s="472" t="s">
        <v>565</v>
      </c>
      <c r="C29" s="345">
        <f>'9.1.1. sz. mell ÖNK'!C32</f>
        <v>55300000</v>
      </c>
    </row>
    <row r="30" spans="1:3" s="470" customFormat="1" ht="12" customHeight="1">
      <c r="A30" s="14" t="s">
        <v>274</v>
      </c>
      <c r="B30" s="472" t="s">
        <v>566</v>
      </c>
      <c r="C30" s="345">
        <f>'9.1.1. sz. mell ÖNK'!C33</f>
        <v>40000</v>
      </c>
    </row>
    <row r="31" spans="1:3" s="470" customFormat="1" ht="12" customHeight="1">
      <c r="A31" s="14" t="s">
        <v>560</v>
      </c>
      <c r="B31" s="472" t="s">
        <v>275</v>
      </c>
      <c r="C31" s="345">
        <f>'9.1.1. sz. mell ÖNK'!C34</f>
        <v>13500000</v>
      </c>
    </row>
    <row r="32" spans="1:3" s="470" customFormat="1" ht="12" customHeight="1">
      <c r="A32" s="14" t="s">
        <v>561</v>
      </c>
      <c r="B32" s="472" t="s">
        <v>276</v>
      </c>
      <c r="C32" s="345">
        <f>'9.1.1. sz. mell ÖNK'!C35</f>
        <v>0</v>
      </c>
    </row>
    <row r="33" spans="1:3" s="470" customFormat="1" ht="12" customHeight="1" thickBot="1">
      <c r="A33" s="16" t="s">
        <v>562</v>
      </c>
      <c r="B33" s="578" t="s">
        <v>277</v>
      </c>
      <c r="C33" s="345">
        <f>'9.1.1. sz. mell ÖNK'!C36</f>
        <v>15200000</v>
      </c>
    </row>
    <row r="34" spans="1:3" s="470" customFormat="1" ht="12" customHeight="1" thickBot="1">
      <c r="A34" s="20" t="s">
        <v>23</v>
      </c>
      <c r="B34" s="21" t="s">
        <v>441</v>
      </c>
      <c r="C34" s="342">
        <f>SUM(C35:C45)</f>
        <v>73723100</v>
      </c>
    </row>
    <row r="35" spans="1:3" s="470" customFormat="1" ht="12" customHeight="1">
      <c r="A35" s="15" t="s">
        <v>94</v>
      </c>
      <c r="B35" s="471" t="s">
        <v>280</v>
      </c>
      <c r="C35" s="345">
        <f>'9.1.1. sz. mell ÖNK'!C38+'9.2.1. sz. mell HIV'!C9+'9.3.1. sz. mell GAM'!C9+'9.4.1. sz. mell ILMKS'!C9+'9.5.1. sz. mell OVI'!C9</f>
        <v>7087000</v>
      </c>
    </row>
    <row r="36" spans="1:3" s="470" customFormat="1" ht="12" customHeight="1">
      <c r="A36" s="14" t="s">
        <v>95</v>
      </c>
      <c r="B36" s="472" t="s">
        <v>281</v>
      </c>
      <c r="C36" s="345">
        <f>'9.1.1. sz. mell ÖNK'!C39+'9.2.1. sz. mell HIV'!C10+'9.3.1. sz. mell GAM'!C10+'9.4.1. sz. mell ILMKS'!C10+'9.5.1. sz. mell OVI'!C10</f>
        <v>38338100</v>
      </c>
    </row>
    <row r="37" spans="1:3" s="470" customFormat="1" ht="12" customHeight="1">
      <c r="A37" s="14" t="s">
        <v>96</v>
      </c>
      <c r="B37" s="472" t="s">
        <v>282</v>
      </c>
      <c r="C37" s="345">
        <f>'9.1.1. sz. mell ÖNK'!C40+'9.2.1. sz. mell HIV'!C11+'9.3.1. sz. mell GAM'!C11+'9.4.1. sz. mell ILMKS'!C11+'9.5.1. sz. mell OVI'!C11</f>
        <v>2333000</v>
      </c>
    </row>
    <row r="38" spans="1:3" s="470" customFormat="1" ht="12" customHeight="1">
      <c r="A38" s="14" t="s">
        <v>176</v>
      </c>
      <c r="B38" s="472" t="s">
        <v>283</v>
      </c>
      <c r="C38" s="345">
        <f>'9.1.1. sz. mell ÖNK'!C41+'9.2.1. sz. mell HIV'!C12+'9.3.1. sz. mell GAM'!C12+'9.4.1. sz. mell ILMKS'!C12+'9.5.1. sz. mell OVI'!C12</f>
        <v>3500000</v>
      </c>
    </row>
    <row r="39" spans="1:3" s="470" customFormat="1" ht="12" customHeight="1">
      <c r="A39" s="14" t="s">
        <v>177</v>
      </c>
      <c r="B39" s="472" t="s">
        <v>284</v>
      </c>
      <c r="C39" s="345">
        <f>'9.1.1. sz. mell ÖNK'!C42+'9.2.1. sz. mell HIV'!C13+'9.3.1. sz. mell GAM'!C13+'9.4.1. sz. mell ILMKS'!C13+'9.5.1. sz. mell OVI'!C13</f>
        <v>4868000</v>
      </c>
    </row>
    <row r="40" spans="1:3" s="470" customFormat="1" ht="12" customHeight="1">
      <c r="A40" s="14" t="s">
        <v>178</v>
      </c>
      <c r="B40" s="472" t="s">
        <v>285</v>
      </c>
      <c r="C40" s="345">
        <f>'9.1.1. sz. mell ÖNK'!C43+'9.2.1. sz. mell HIV'!C14+'9.3.1. sz. mell GAM'!C14+'9.4.1. sz. mell ILMKS'!C14+'9.5.1. sz. mell OVI'!C14</f>
        <v>14597000</v>
      </c>
    </row>
    <row r="41" spans="1:3" s="470" customFormat="1" ht="12" customHeight="1">
      <c r="A41" s="14" t="s">
        <v>179</v>
      </c>
      <c r="B41" s="472" t="s">
        <v>286</v>
      </c>
      <c r="C41" s="345">
        <f>'9.1.1. sz. mell ÖNK'!C44+'9.2.1. sz. mell HIV'!C15+'9.3.1. sz. mell GAM'!C15+'9.4.1. sz. mell ILMKS'!C15+'9.5.1. sz. mell OVI'!C15</f>
        <v>3000000</v>
      </c>
    </row>
    <row r="42" spans="1:3" s="470" customFormat="1" ht="12" customHeight="1">
      <c r="A42" s="14" t="s">
        <v>180</v>
      </c>
      <c r="B42" s="472" t="s">
        <v>568</v>
      </c>
      <c r="C42" s="345">
        <f>'9.1.1. sz. mell ÖNK'!C45+'9.2.1. sz. mell HIV'!C16+'9.3.1. sz. mell GAM'!C16+'9.4.1. sz. mell ILMKS'!C16+'9.5.1. sz. mell OVI'!C16</f>
        <v>0</v>
      </c>
    </row>
    <row r="43" spans="1:3" s="470" customFormat="1" ht="12" customHeight="1">
      <c r="A43" s="14" t="s">
        <v>278</v>
      </c>
      <c r="B43" s="472" t="s">
        <v>288</v>
      </c>
      <c r="C43" s="345">
        <f>'9.1.1. sz. mell ÖNK'!C46+'9.2.1. sz. mell HIV'!C17+'9.3.1. sz. mell GAM'!C17+'9.4.1. sz. mell ILMKS'!C17+'9.5.1. sz. mell OVI'!C17</f>
        <v>0</v>
      </c>
    </row>
    <row r="44" spans="1:3" s="470" customFormat="1" ht="12" customHeight="1">
      <c r="A44" s="16" t="s">
        <v>279</v>
      </c>
      <c r="B44" s="473" t="s">
        <v>443</v>
      </c>
      <c r="C44" s="345">
        <f>'9.1.1. sz. mell ÖNK'!C47+'9.2.1. sz. mell HIV'!C18+'9.3.1. sz. mell GAM'!C18+'9.4.1. sz. mell ILMKS'!C18+'9.5.1. sz. mell OVI'!C18</f>
        <v>0</v>
      </c>
    </row>
    <row r="45" spans="1:3" s="470" customFormat="1" ht="12" customHeight="1" thickBot="1">
      <c r="A45" s="16" t="s">
        <v>442</v>
      </c>
      <c r="B45" s="339" t="s">
        <v>289</v>
      </c>
      <c r="C45" s="345">
        <f>'9.1.1. sz. mell ÖNK'!C48+'9.2.1. sz. mell HIV'!C19+'9.3.1. sz. mell GAM'!C19+'9.4.1. sz. mell ILMKS'!C19+'9.5.1. sz. mell OVI'!C19</f>
        <v>0</v>
      </c>
    </row>
    <row r="46" spans="1:3" s="470" customFormat="1" ht="12" customHeight="1" thickBot="1">
      <c r="A46" s="20" t="s">
        <v>24</v>
      </c>
      <c r="B46" s="21" t="s">
        <v>290</v>
      </c>
      <c r="C46" s="342">
        <f>SUM(C47:C51)</f>
        <v>12712000</v>
      </c>
    </row>
    <row r="47" spans="1:3" s="470" customFormat="1" ht="12" customHeight="1">
      <c r="A47" s="15" t="s">
        <v>97</v>
      </c>
      <c r="B47" s="471" t="s">
        <v>294</v>
      </c>
      <c r="C47" s="516">
        <f>'9.1.1. sz. mell ÖNK'!C50+'9.2.1. sz. mell HIV'!C32+'9.3.1. sz. mell GAM'!C31+'9.4.1. sz. mell ILMKS'!C31+'9.5.1. sz. mell OVI'!C31</f>
        <v>0</v>
      </c>
    </row>
    <row r="48" spans="1:3" s="470" customFormat="1" ht="12" customHeight="1">
      <c r="A48" s="14" t="s">
        <v>98</v>
      </c>
      <c r="B48" s="472" t="s">
        <v>295</v>
      </c>
      <c r="C48" s="516">
        <f>'9.1.1. sz. mell ÖNK'!C51+'9.2.1. sz. mell HIV'!C33+'9.3.1. sz. mell GAM'!C32+'9.4.1. sz. mell ILMKS'!C32+'9.5.1. sz. mell OVI'!C32</f>
        <v>10712000</v>
      </c>
    </row>
    <row r="49" spans="1:3" s="470" customFormat="1" ht="12" customHeight="1">
      <c r="A49" s="14" t="s">
        <v>291</v>
      </c>
      <c r="B49" s="472" t="s">
        <v>296</v>
      </c>
      <c r="C49" s="516">
        <f>'9.1.1. sz. mell ÖNK'!C52+'9.2.1. sz. mell HIV'!C34+'9.3.1. sz. mell GAM'!C33+'9.4.1. sz. mell ILMKS'!C33+'9.5.1. sz. mell OVI'!C33</f>
        <v>2000000</v>
      </c>
    </row>
    <row r="50" spans="1:3" s="470" customFormat="1" ht="12" customHeight="1">
      <c r="A50" s="14" t="s">
        <v>292</v>
      </c>
      <c r="B50" s="472" t="s">
        <v>297</v>
      </c>
      <c r="C50" s="347"/>
    </row>
    <row r="51" spans="1:3" s="470" customFormat="1" ht="12" customHeight="1" thickBot="1">
      <c r="A51" s="16" t="s">
        <v>293</v>
      </c>
      <c r="B51" s="339" t="s">
        <v>298</v>
      </c>
      <c r="C51" s="457"/>
    </row>
    <row r="52" spans="1:3" s="470" customFormat="1" ht="12" customHeight="1" thickBot="1">
      <c r="A52" s="20" t="s">
        <v>181</v>
      </c>
      <c r="B52" s="21" t="s">
        <v>299</v>
      </c>
      <c r="C52" s="342">
        <f>SUM(C53:C55)</f>
        <v>0</v>
      </c>
    </row>
    <row r="53" spans="1:3" s="470" customFormat="1" ht="12" customHeight="1">
      <c r="A53" s="15" t="s">
        <v>99</v>
      </c>
      <c r="B53" s="471" t="s">
        <v>300</v>
      </c>
      <c r="C53" s="345">
        <f>'9.1.1. sz. mell ÖNK'!C56</f>
        <v>0</v>
      </c>
    </row>
    <row r="54" spans="1:3" s="470" customFormat="1" ht="12" customHeight="1">
      <c r="A54" s="14" t="s">
        <v>100</v>
      </c>
      <c r="B54" s="472" t="s">
        <v>433</v>
      </c>
      <c r="C54" s="345">
        <f>'9.1.1. sz. mell ÖNK'!C57</f>
        <v>0</v>
      </c>
    </row>
    <row r="55" spans="1:3" s="470" customFormat="1" ht="12" customHeight="1">
      <c r="A55" s="14" t="s">
        <v>303</v>
      </c>
      <c r="B55" s="472" t="s">
        <v>301</v>
      </c>
      <c r="C55" s="345">
        <f>'9.1.1. sz. mell ÖNK'!C58</f>
        <v>0</v>
      </c>
    </row>
    <row r="56" spans="1:3" s="470" customFormat="1" ht="12" customHeight="1" thickBot="1">
      <c r="A56" s="16" t="s">
        <v>304</v>
      </c>
      <c r="B56" s="339" t="s">
        <v>302</v>
      </c>
      <c r="C56" s="345">
        <f>'9.1.1. sz. mell ÖNK'!C59</f>
        <v>0</v>
      </c>
    </row>
    <row r="57" spans="1:3" s="470" customFormat="1" ht="12" customHeight="1" thickBot="1">
      <c r="A57" s="20" t="s">
        <v>26</v>
      </c>
      <c r="B57" s="337" t="s">
        <v>305</v>
      </c>
      <c r="C57" s="342">
        <f>SUM(C58:C60)</f>
        <v>17810000</v>
      </c>
    </row>
    <row r="58" spans="1:3" s="470" customFormat="1" ht="12" customHeight="1">
      <c r="A58" s="15" t="s">
        <v>182</v>
      </c>
      <c r="B58" s="471" t="s">
        <v>307</v>
      </c>
      <c r="C58" s="347">
        <f>'9.1.1. sz. mell ÖNK'!C61</f>
        <v>0</v>
      </c>
    </row>
    <row r="59" spans="1:3" s="470" customFormat="1" ht="12" customHeight="1">
      <c r="A59" s="14" t="s">
        <v>183</v>
      </c>
      <c r="B59" s="472" t="s">
        <v>434</v>
      </c>
      <c r="C59" s="347">
        <f>'9.1.1. sz. mell ÖNK'!C62</f>
        <v>810000</v>
      </c>
    </row>
    <row r="60" spans="1:3" s="470" customFormat="1" ht="12" customHeight="1">
      <c r="A60" s="14" t="s">
        <v>231</v>
      </c>
      <c r="B60" s="472" t="s">
        <v>308</v>
      </c>
      <c r="C60" s="347">
        <f>'9.1.1. sz. mell ÖNK'!C63</f>
        <v>17000000</v>
      </c>
    </row>
    <row r="61" spans="1:3" s="470" customFormat="1" ht="12" customHeight="1" thickBot="1">
      <c r="A61" s="16" t="s">
        <v>306</v>
      </c>
      <c r="B61" s="339" t="s">
        <v>309</v>
      </c>
      <c r="C61" s="347">
        <f>'9.1.1. sz. mell ÖNK'!C64</f>
        <v>0</v>
      </c>
    </row>
    <row r="62" spans="1:3" s="470" customFormat="1" ht="12" customHeight="1" thickBot="1">
      <c r="A62" s="550" t="s">
        <v>483</v>
      </c>
      <c r="B62" s="21" t="s">
        <v>310</v>
      </c>
      <c r="C62" s="348">
        <f>+C5+C12+C19+C26+C34+C46+C52+C57</f>
        <v>1029024836</v>
      </c>
    </row>
    <row r="63" spans="1:3" s="470" customFormat="1" ht="12" customHeight="1" thickBot="1">
      <c r="A63" s="519" t="s">
        <v>311</v>
      </c>
      <c r="B63" s="337" t="s">
        <v>312</v>
      </c>
      <c r="C63" s="342">
        <f>SUM(C64:C66)</f>
        <v>45359000</v>
      </c>
    </row>
    <row r="64" spans="1:3" s="470" customFormat="1" ht="12" customHeight="1">
      <c r="A64" s="15" t="s">
        <v>343</v>
      </c>
      <c r="B64" s="471" t="s">
        <v>313</v>
      </c>
      <c r="C64" s="347">
        <f>'9.1.1. sz. mell ÖNK'!C67</f>
        <v>45359000</v>
      </c>
    </row>
    <row r="65" spans="1:3" s="470" customFormat="1" ht="12" customHeight="1">
      <c r="A65" s="14" t="s">
        <v>352</v>
      </c>
      <c r="B65" s="472" t="s">
        <v>314</v>
      </c>
      <c r="C65" s="347">
        <f>'9.1.1. sz. mell ÖNK'!C68</f>
        <v>0</v>
      </c>
    </row>
    <row r="66" spans="1:3" s="470" customFormat="1" ht="12" customHeight="1" thickBot="1">
      <c r="A66" s="16" t="s">
        <v>353</v>
      </c>
      <c r="B66" s="544" t="s">
        <v>468</v>
      </c>
      <c r="C66" s="347">
        <f>'9.1.1. sz. mell ÖNK'!C69</f>
        <v>0</v>
      </c>
    </row>
    <row r="67" spans="1:3" s="470" customFormat="1" ht="12" customHeight="1" thickBot="1">
      <c r="A67" s="519" t="s">
        <v>316</v>
      </c>
      <c r="B67" s="337" t="s">
        <v>317</v>
      </c>
      <c r="C67" s="342">
        <f>SUM(C68:C71)</f>
        <v>0</v>
      </c>
    </row>
    <row r="68" spans="1:3" s="470" customFormat="1" ht="12" customHeight="1">
      <c r="A68" s="15" t="s">
        <v>153</v>
      </c>
      <c r="B68" s="471" t="s">
        <v>318</v>
      </c>
      <c r="C68" s="347">
        <f>'9.1.1. sz. mell ÖNK'!C71</f>
        <v>0</v>
      </c>
    </row>
    <row r="69" spans="1:3" s="470" customFormat="1" ht="12" customHeight="1">
      <c r="A69" s="14" t="s">
        <v>154</v>
      </c>
      <c r="B69" s="472" t="s">
        <v>319</v>
      </c>
      <c r="C69" s="347">
        <f>'9.1.1. sz. mell ÖNK'!C72</f>
        <v>0</v>
      </c>
    </row>
    <row r="70" spans="1:3" s="470" customFormat="1" ht="12" customHeight="1">
      <c r="A70" s="14" t="s">
        <v>344</v>
      </c>
      <c r="B70" s="472" t="s">
        <v>320</v>
      </c>
      <c r="C70" s="347">
        <f>'9.1.1. sz. mell ÖNK'!C73</f>
        <v>0</v>
      </c>
    </row>
    <row r="71" spans="1:3" s="470" customFormat="1" ht="12" customHeight="1" thickBot="1">
      <c r="A71" s="16" t="s">
        <v>345</v>
      </c>
      <c r="B71" s="339" t="s">
        <v>321</v>
      </c>
      <c r="C71" s="347">
        <f>'9.1.1. sz. mell ÖNK'!C74</f>
        <v>0</v>
      </c>
    </row>
    <row r="72" spans="1:3" s="470" customFormat="1" ht="12" customHeight="1" thickBot="1">
      <c r="A72" s="519" t="s">
        <v>322</v>
      </c>
      <c r="B72" s="337" t="s">
        <v>323</v>
      </c>
      <c r="C72" s="342">
        <f>SUM(C73:C74)</f>
        <v>40000000</v>
      </c>
    </row>
    <row r="73" spans="1:3" s="470" customFormat="1" ht="12" customHeight="1">
      <c r="A73" s="15" t="s">
        <v>346</v>
      </c>
      <c r="B73" s="471" t="s">
        <v>324</v>
      </c>
      <c r="C73" s="347">
        <f>'9.1.1. sz. mell ÖNK'!C76+'9.2.1. sz. mell HIV'!C39+'9.3.1. sz. mell GAM'!C38+'9.4.1. sz. mell ILMKS'!C38+'9.5.1. sz. mell OVI'!C38</f>
        <v>40000000</v>
      </c>
    </row>
    <row r="74" spans="1:3" s="470" customFormat="1" ht="12" customHeight="1" thickBot="1">
      <c r="A74" s="16" t="s">
        <v>347</v>
      </c>
      <c r="B74" s="339" t="s">
        <v>325</v>
      </c>
      <c r="C74" s="347">
        <f>'9.1.1. sz. mell ÖNK'!C77+'9.2.1. sz. mell HIV'!C40+'9.3.1. sz. mell GAM'!C39+'9.4.1. sz. mell ILMKS'!C39+'9.5.1. sz. mell OVI'!C39</f>
        <v>0</v>
      </c>
    </row>
    <row r="75" spans="1:3" s="470" customFormat="1" ht="12" customHeight="1" thickBot="1">
      <c r="A75" s="519" t="s">
        <v>326</v>
      </c>
      <c r="B75" s="337" t="s">
        <v>327</v>
      </c>
      <c r="C75" s="342">
        <f>SUM(C76:C78)</f>
        <v>0</v>
      </c>
    </row>
    <row r="76" spans="1:3" s="470" customFormat="1" ht="12" customHeight="1">
      <c r="A76" s="15" t="s">
        <v>348</v>
      </c>
      <c r="B76" s="471" t="s">
        <v>328</v>
      </c>
      <c r="C76" s="347">
        <f>'9.1.1. sz. mell ÖNK'!C79</f>
        <v>0</v>
      </c>
    </row>
    <row r="77" spans="1:3" s="470" customFormat="1" ht="12" customHeight="1">
      <c r="A77" s="14" t="s">
        <v>349</v>
      </c>
      <c r="B77" s="472" t="s">
        <v>329</v>
      </c>
      <c r="C77" s="347">
        <f>'9.1.1. sz. mell ÖNK'!C80</f>
        <v>0</v>
      </c>
    </row>
    <row r="78" spans="1:3" s="470" customFormat="1" ht="12" customHeight="1" thickBot="1">
      <c r="A78" s="16" t="s">
        <v>350</v>
      </c>
      <c r="B78" s="339" t="s">
        <v>330</v>
      </c>
      <c r="C78" s="347">
        <f>'9.1.1. sz. mell ÖNK'!C81</f>
        <v>0</v>
      </c>
    </row>
    <row r="79" spans="1:3" s="470" customFormat="1" ht="12" customHeight="1" thickBot="1">
      <c r="A79" s="519" t="s">
        <v>331</v>
      </c>
      <c r="B79" s="337" t="s">
        <v>351</v>
      </c>
      <c r="C79" s="342">
        <f>SUM(C80:C83)</f>
        <v>0</v>
      </c>
    </row>
    <row r="80" spans="1:3" s="470" customFormat="1" ht="12" customHeight="1">
      <c r="A80" s="475" t="s">
        <v>332</v>
      </c>
      <c r="B80" s="471" t="s">
        <v>333</v>
      </c>
      <c r="C80" s="347">
        <f>'9.1.1. sz. mell ÖNK'!C83</f>
        <v>0</v>
      </c>
    </row>
    <row r="81" spans="1:3" s="470" customFormat="1" ht="12" customHeight="1">
      <c r="A81" s="476" t="s">
        <v>334</v>
      </c>
      <c r="B81" s="472" t="s">
        <v>335</v>
      </c>
      <c r="C81" s="347">
        <f>'9.1.1. sz. mell ÖNK'!C84</f>
        <v>0</v>
      </c>
    </row>
    <row r="82" spans="1:3" s="470" customFormat="1" ht="12" customHeight="1">
      <c r="A82" s="476" t="s">
        <v>336</v>
      </c>
      <c r="B82" s="472" t="s">
        <v>337</v>
      </c>
      <c r="C82" s="347">
        <f>'9.1.1. sz. mell ÖNK'!C85</f>
        <v>0</v>
      </c>
    </row>
    <row r="83" spans="1:3" s="470" customFormat="1" ht="12" customHeight="1" thickBot="1">
      <c r="A83" s="477" t="s">
        <v>338</v>
      </c>
      <c r="B83" s="339" t="s">
        <v>339</v>
      </c>
      <c r="C83" s="347">
        <f>'9.1.1. sz. mell ÖNK'!C86</f>
        <v>0</v>
      </c>
    </row>
    <row r="84" spans="1:3" s="470" customFormat="1" ht="12" customHeight="1" thickBot="1">
      <c r="A84" s="519" t="s">
        <v>340</v>
      </c>
      <c r="B84" s="337" t="s">
        <v>482</v>
      </c>
      <c r="C84" s="517"/>
    </row>
    <row r="85" spans="1:3" s="470" customFormat="1" ht="13.5" customHeight="1" thickBot="1">
      <c r="A85" s="519" t="s">
        <v>342</v>
      </c>
      <c r="B85" s="337" t="s">
        <v>341</v>
      </c>
      <c r="C85" s="517"/>
    </row>
    <row r="86" spans="1:3" s="470" customFormat="1" ht="15.75" customHeight="1" thickBot="1">
      <c r="A86" s="519" t="s">
        <v>354</v>
      </c>
      <c r="B86" s="478" t="s">
        <v>485</v>
      </c>
      <c r="C86" s="348">
        <f>+C63+C67+C72+C75+C79+C85+C84</f>
        <v>85359000</v>
      </c>
    </row>
    <row r="87" spans="1:3" s="470" customFormat="1" ht="16.5" customHeight="1" thickBot="1">
      <c r="A87" s="520" t="s">
        <v>484</v>
      </c>
      <c r="B87" s="479" t="s">
        <v>486</v>
      </c>
      <c r="C87" s="348">
        <f>+C62+C86</f>
        <v>1114383836</v>
      </c>
    </row>
    <row r="88" spans="1:3" s="470" customFormat="1" ht="29.25" customHeight="1">
      <c r="A88" s="5"/>
      <c r="B88" s="6"/>
      <c r="C88" s="349"/>
    </row>
    <row r="89" spans="1:3" ht="16.5" customHeight="1">
      <c r="A89" s="620" t="s">
        <v>48</v>
      </c>
      <c r="B89" s="620"/>
      <c r="C89" s="620"/>
    </row>
    <row r="90" spans="1:3" s="480" customFormat="1" ht="16.5" customHeight="1" thickBot="1">
      <c r="A90" s="622" t="s">
        <v>157</v>
      </c>
      <c r="B90" s="622"/>
      <c r="C90" s="167" t="s">
        <v>585</v>
      </c>
    </row>
    <row r="91" spans="1:3" ht="37.5" customHeight="1" thickBot="1">
      <c r="A91" s="23" t="s">
        <v>72</v>
      </c>
      <c r="B91" s="24" t="s">
        <v>49</v>
      </c>
      <c r="C91" s="45" t="str">
        <f>+C3</f>
        <v>2016. évi előirányzat</v>
      </c>
    </row>
    <row r="92" spans="1:3" s="469" customFormat="1" ht="12" customHeight="1" thickBot="1">
      <c r="A92" s="37"/>
      <c r="B92" s="38" t="s">
        <v>499</v>
      </c>
      <c r="C92" s="39" t="s">
        <v>500</v>
      </c>
    </row>
    <row r="93" spans="1:3" ht="12" customHeight="1" thickBot="1">
      <c r="A93" s="22" t="s">
        <v>19</v>
      </c>
      <c r="B93" s="31" t="s">
        <v>444</v>
      </c>
      <c r="C93" s="341">
        <f>C94+C95+C96+C97+C98+C111</f>
        <v>1017283836</v>
      </c>
    </row>
    <row r="94" spans="1:3" ht="12" customHeight="1">
      <c r="A94" s="17" t="s">
        <v>101</v>
      </c>
      <c r="B94" s="10" t="s">
        <v>50</v>
      </c>
      <c r="C94" s="343">
        <f>'9.1.1. sz. mell ÖNK'!C94+'9.2.1. sz. mell HIV'!C47+'9.3.1. sz. mell GAM'!C46+'9.4.1. sz. mell ILMKS'!C46+'9.5.1. sz. mell OVI'!C46</f>
        <v>492980000</v>
      </c>
    </row>
    <row r="95" spans="1:3" ht="12" customHeight="1">
      <c r="A95" s="14" t="s">
        <v>102</v>
      </c>
      <c r="B95" s="8" t="s">
        <v>184</v>
      </c>
      <c r="C95" s="344">
        <f>'9.1.1. sz. mell ÖNK'!C95+'9.2.1. sz. mell HIV'!C48+'9.3.1. sz. mell GAM'!C47+'9.4.1. sz. mell ILMKS'!C47+'9.5.1. sz. mell OVI'!C47</f>
        <v>98773000</v>
      </c>
    </row>
    <row r="96" spans="1:3" ht="12" customHeight="1">
      <c r="A96" s="14" t="s">
        <v>103</v>
      </c>
      <c r="B96" s="8" t="s">
        <v>144</v>
      </c>
      <c r="C96" s="344">
        <f>'9.1.1. sz. mell ÖNK'!C96+'9.2.1. sz. mell HIV'!C49+'9.3.1. sz. mell GAM'!C48+'9.4.1. sz. mell ILMKS'!C48+'9.5.1. sz. mell OVI'!C48</f>
        <v>344698836</v>
      </c>
    </row>
    <row r="97" spans="1:3" ht="12" customHeight="1">
      <c r="A97" s="14" t="s">
        <v>104</v>
      </c>
      <c r="B97" s="11" t="s">
        <v>185</v>
      </c>
      <c r="C97" s="344">
        <f>'9.1.1. sz. mell ÖNK'!C97+'9.2.1. sz. mell HIV'!C50+'9.3.1. sz. mell GAM'!C49+'9.4.1. sz. mell ILMKS'!C49+'9.5.1. sz. mell OVI'!C49</f>
        <v>35992000</v>
      </c>
    </row>
    <row r="98" spans="1:3" ht="12" customHeight="1">
      <c r="A98" s="14" t="s">
        <v>115</v>
      </c>
      <c r="B98" s="19" t="s">
        <v>186</v>
      </c>
      <c r="C98" s="345">
        <f>'9.1.1. sz. mell ÖNK'!C98+'9.2.1. sz. mell HIV'!C51+'9.3.1. sz. mell GAM'!C50+'9.4.1. sz. mell ILMKS'!C50+'9.5.1. sz. mell OVI'!C50</f>
        <v>44840000</v>
      </c>
    </row>
    <row r="99" spans="1:3" ht="12" customHeight="1">
      <c r="A99" s="14" t="s">
        <v>105</v>
      </c>
      <c r="B99" s="8" t="s">
        <v>449</v>
      </c>
      <c r="C99" s="346">
        <f>'9.1.1. sz. mell ÖNK'!C99</f>
        <v>0</v>
      </c>
    </row>
    <row r="100" spans="1:3" ht="12" customHeight="1">
      <c r="A100" s="14" t="s">
        <v>106</v>
      </c>
      <c r="B100" s="172" t="s">
        <v>448</v>
      </c>
      <c r="C100" s="346">
        <f>'9.1.1. sz. mell ÖNK'!C100</f>
        <v>0</v>
      </c>
    </row>
    <row r="101" spans="1:3" ht="12" customHeight="1">
      <c r="A101" s="14" t="s">
        <v>116</v>
      </c>
      <c r="B101" s="172" t="s">
        <v>447</v>
      </c>
      <c r="C101" s="346">
        <f>'9.1.1. sz. mell ÖNK'!C101</f>
        <v>0</v>
      </c>
    </row>
    <row r="102" spans="1:3" ht="12" customHeight="1">
      <c r="A102" s="14" t="s">
        <v>117</v>
      </c>
      <c r="B102" s="170" t="s">
        <v>357</v>
      </c>
      <c r="C102" s="346">
        <f>'9.1.1. sz. mell ÖNK'!C102</f>
        <v>0</v>
      </c>
    </row>
    <row r="103" spans="1:3" ht="12" customHeight="1">
      <c r="A103" s="14" t="s">
        <v>118</v>
      </c>
      <c r="B103" s="171" t="s">
        <v>358</v>
      </c>
      <c r="C103" s="346">
        <f>'9.1.1. sz. mell ÖNK'!C103</f>
        <v>0</v>
      </c>
    </row>
    <row r="104" spans="1:3" ht="12" customHeight="1">
      <c r="A104" s="14" t="s">
        <v>119</v>
      </c>
      <c r="B104" s="171" t="s">
        <v>359</v>
      </c>
      <c r="C104" s="346">
        <f>'9.1.1. sz. mell ÖNK'!C104</f>
        <v>0</v>
      </c>
    </row>
    <row r="105" spans="1:3" ht="12" customHeight="1">
      <c r="A105" s="14" t="s">
        <v>121</v>
      </c>
      <c r="B105" s="170" t="s">
        <v>360</v>
      </c>
      <c r="C105" s="346">
        <f>'9.1.1. sz. mell ÖNK'!C105</f>
        <v>40740000</v>
      </c>
    </row>
    <row r="106" spans="1:3" ht="12" customHeight="1">
      <c r="A106" s="14" t="s">
        <v>187</v>
      </c>
      <c r="B106" s="170" t="s">
        <v>361</v>
      </c>
      <c r="C106" s="346">
        <f>'9.1.1. sz. mell ÖNK'!C106</f>
        <v>0</v>
      </c>
    </row>
    <row r="107" spans="1:3" ht="12" customHeight="1">
      <c r="A107" s="14" t="s">
        <v>355</v>
      </c>
      <c r="B107" s="171" t="s">
        <v>362</v>
      </c>
      <c r="C107" s="346">
        <f>'9.1.1. sz. mell ÖNK'!C107</f>
        <v>0</v>
      </c>
    </row>
    <row r="108" spans="1:3" ht="12" customHeight="1">
      <c r="A108" s="13" t="s">
        <v>356</v>
      </c>
      <c r="B108" s="172" t="s">
        <v>363</v>
      </c>
      <c r="C108" s="346">
        <f>'9.1.1. sz. mell ÖNK'!C108</f>
        <v>0</v>
      </c>
    </row>
    <row r="109" spans="1:3" ht="12" customHeight="1">
      <c r="A109" s="14" t="s">
        <v>445</v>
      </c>
      <c r="B109" s="172" t="s">
        <v>364</v>
      </c>
      <c r="C109" s="346">
        <f>'9.1.1. sz. mell ÖNK'!C109</f>
        <v>0</v>
      </c>
    </row>
    <row r="110" spans="1:3" ht="12" customHeight="1">
      <c r="A110" s="16" t="s">
        <v>446</v>
      </c>
      <c r="B110" s="172" t="s">
        <v>365</v>
      </c>
      <c r="C110" s="346">
        <f>'9.1.1. sz. mell ÖNK'!C110</f>
        <v>4100000</v>
      </c>
    </row>
    <row r="111" spans="1:3" ht="12" customHeight="1">
      <c r="A111" s="14" t="s">
        <v>450</v>
      </c>
      <c r="B111" s="11" t="s">
        <v>51</v>
      </c>
      <c r="C111" s="346">
        <f>'9.1.1. sz. mell ÖNK'!C111</f>
        <v>0</v>
      </c>
    </row>
    <row r="112" spans="1:3" ht="12" customHeight="1">
      <c r="A112" s="14" t="s">
        <v>451</v>
      </c>
      <c r="B112" s="8" t="s">
        <v>453</v>
      </c>
      <c r="C112" s="346">
        <f>'9.1.1. sz. mell ÖNK'!C112</f>
        <v>0</v>
      </c>
    </row>
    <row r="113" spans="1:3" ht="12" customHeight="1" thickBot="1">
      <c r="A113" s="16" t="s">
        <v>452</v>
      </c>
      <c r="B113" s="605" t="s">
        <v>454</v>
      </c>
      <c r="C113" s="346">
        <f>'9.1.1. sz. mell ÖNK'!C113</f>
        <v>0</v>
      </c>
    </row>
    <row r="114" spans="1:3" ht="12" customHeight="1" thickBot="1">
      <c r="A114" s="20" t="s">
        <v>20</v>
      </c>
      <c r="B114" s="30" t="s">
        <v>366</v>
      </c>
      <c r="C114" s="342">
        <f>+C115+C117+C119</f>
        <v>66078000</v>
      </c>
    </row>
    <row r="115" spans="1:3" ht="12" customHeight="1">
      <c r="A115" s="15" t="s">
        <v>107</v>
      </c>
      <c r="B115" s="8" t="s">
        <v>229</v>
      </c>
      <c r="C115" s="345">
        <f>'9.1.1. sz. mell ÖNK'!C115+'9.2.1. sz. mell HIV'!C53+'9.3.1. sz. mell GAM'!C52+'9.4.1. sz. mell ILMKS'!C52+'9.5.1. sz. mell OVI'!C52</f>
        <v>61278000</v>
      </c>
    </row>
    <row r="116" spans="1:3" ht="12" customHeight="1">
      <c r="A116" s="15" t="s">
        <v>108</v>
      </c>
      <c r="B116" s="12" t="s">
        <v>370</v>
      </c>
      <c r="C116" s="345"/>
    </row>
    <row r="117" spans="1:3" ht="12" customHeight="1">
      <c r="A117" s="15" t="s">
        <v>109</v>
      </c>
      <c r="B117" s="12" t="s">
        <v>188</v>
      </c>
      <c r="C117" s="344">
        <f>'9.1.1. sz. mell ÖNK'!C117+'9.2.1. sz. mell HIV'!C54+'9.3.1. sz. mell GAM'!C53+'9.4.1. sz. mell ILMKS'!C53+'9.5.1. sz. mell OVI'!C53</f>
        <v>4800000</v>
      </c>
    </row>
    <row r="118" spans="1:3" ht="12" customHeight="1">
      <c r="A118" s="15" t="s">
        <v>110</v>
      </c>
      <c r="B118" s="12" t="s">
        <v>371</v>
      </c>
      <c r="C118" s="309"/>
    </row>
    <row r="119" spans="1:3" ht="12" customHeight="1">
      <c r="A119" s="15" t="s">
        <v>111</v>
      </c>
      <c r="B119" s="339" t="s">
        <v>232</v>
      </c>
      <c r="C119" s="309">
        <f>'9.1.1. sz. mell ÖNK'!C119+'9.2.1. sz. mell HIV'!C55+'9.3.1. sz. mell GAM'!C54+'9.4.1. sz. mell ILMKS'!C54+'9.5.1. sz. mell OVI'!C54</f>
        <v>0</v>
      </c>
    </row>
    <row r="120" spans="1:3" ht="12" customHeight="1">
      <c r="A120" s="15" t="s">
        <v>120</v>
      </c>
      <c r="B120" s="338" t="s">
        <v>435</v>
      </c>
      <c r="C120" s="309"/>
    </row>
    <row r="121" spans="1:3" ht="12" customHeight="1">
      <c r="A121" s="15" t="s">
        <v>122</v>
      </c>
      <c r="B121" s="467" t="s">
        <v>376</v>
      </c>
      <c r="C121" s="309"/>
    </row>
    <row r="122" spans="1:3" ht="15.75">
      <c r="A122" s="15" t="s">
        <v>189</v>
      </c>
      <c r="B122" s="171" t="s">
        <v>359</v>
      </c>
      <c r="C122" s="309"/>
    </row>
    <row r="123" spans="1:3" ht="12" customHeight="1">
      <c r="A123" s="15" t="s">
        <v>190</v>
      </c>
      <c r="B123" s="171" t="s">
        <v>375</v>
      </c>
      <c r="C123" s="309"/>
    </row>
    <row r="124" spans="1:3" ht="12" customHeight="1">
      <c r="A124" s="15" t="s">
        <v>191</v>
      </c>
      <c r="B124" s="171" t="s">
        <v>374</v>
      </c>
      <c r="C124" s="309"/>
    </row>
    <row r="125" spans="1:3" ht="12" customHeight="1">
      <c r="A125" s="15" t="s">
        <v>367</v>
      </c>
      <c r="B125" s="171" t="s">
        <v>362</v>
      </c>
      <c r="C125" s="309"/>
    </row>
    <row r="126" spans="1:3" ht="12" customHeight="1">
      <c r="A126" s="15" t="s">
        <v>368</v>
      </c>
      <c r="B126" s="171" t="s">
        <v>373</v>
      </c>
      <c r="C126" s="309"/>
    </row>
    <row r="127" spans="1:3" ht="16.5" thickBot="1">
      <c r="A127" s="13" t="s">
        <v>369</v>
      </c>
      <c r="B127" s="171" t="s">
        <v>372</v>
      </c>
      <c r="C127" s="311"/>
    </row>
    <row r="128" spans="1:3" ht="12" customHeight="1" thickBot="1">
      <c r="A128" s="20" t="s">
        <v>21</v>
      </c>
      <c r="B128" s="151" t="s">
        <v>455</v>
      </c>
      <c r="C128" s="342">
        <f>+C93+C114</f>
        <v>1083361836</v>
      </c>
    </row>
    <row r="129" spans="1:3" ht="12" customHeight="1" thickBot="1">
      <c r="A129" s="20" t="s">
        <v>22</v>
      </c>
      <c r="B129" s="151" t="s">
        <v>456</v>
      </c>
      <c r="C129" s="342">
        <f>+C130+C131+C132</f>
        <v>1633000</v>
      </c>
    </row>
    <row r="130" spans="1:3" ht="12" customHeight="1">
      <c r="A130" s="15" t="s">
        <v>271</v>
      </c>
      <c r="B130" s="12" t="s">
        <v>463</v>
      </c>
      <c r="C130" s="309">
        <f>'9.1.1. sz. mell ÖNK'!C130</f>
        <v>1633000</v>
      </c>
    </row>
    <row r="131" spans="1:3" ht="12" customHeight="1">
      <c r="A131" s="15" t="s">
        <v>272</v>
      </c>
      <c r="B131" s="12" t="s">
        <v>464</v>
      </c>
      <c r="C131" s="309">
        <f>'9.1.1. sz. mell ÖNK'!C131</f>
        <v>0</v>
      </c>
    </row>
    <row r="132" spans="1:3" ht="12" customHeight="1" thickBot="1">
      <c r="A132" s="13" t="s">
        <v>273</v>
      </c>
      <c r="B132" s="12" t="s">
        <v>465</v>
      </c>
      <c r="C132" s="309">
        <f>'9.1.1. sz. mell ÖNK'!C132</f>
        <v>0</v>
      </c>
    </row>
    <row r="133" spans="1:3" ht="12" customHeight="1" thickBot="1">
      <c r="A133" s="20" t="s">
        <v>23</v>
      </c>
      <c r="B133" s="151" t="s">
        <v>457</v>
      </c>
      <c r="C133" s="342">
        <f>SUM(C134:C139)</f>
        <v>0</v>
      </c>
    </row>
    <row r="134" spans="1:3" ht="12" customHeight="1">
      <c r="A134" s="15" t="s">
        <v>94</v>
      </c>
      <c r="B134" s="9" t="s">
        <v>466</v>
      </c>
      <c r="C134" s="309">
        <f>'9.1.1. sz. mell ÖNK'!C134</f>
        <v>0</v>
      </c>
    </row>
    <row r="135" spans="1:3" ht="12" customHeight="1">
      <c r="A135" s="15" t="s">
        <v>95</v>
      </c>
      <c r="B135" s="9" t="s">
        <v>458</v>
      </c>
      <c r="C135" s="309">
        <f>'9.1.1. sz. mell ÖNK'!C135</f>
        <v>0</v>
      </c>
    </row>
    <row r="136" spans="1:3" ht="12" customHeight="1">
      <c r="A136" s="15" t="s">
        <v>96</v>
      </c>
      <c r="B136" s="9" t="s">
        <v>459</v>
      </c>
      <c r="C136" s="309">
        <f>'9.1.1. sz. mell ÖNK'!C136</f>
        <v>0</v>
      </c>
    </row>
    <row r="137" spans="1:3" ht="12" customHeight="1">
      <c r="A137" s="15" t="s">
        <v>176</v>
      </c>
      <c r="B137" s="9" t="s">
        <v>460</v>
      </c>
      <c r="C137" s="309">
        <f>'9.1.1. sz. mell ÖNK'!C137</f>
        <v>0</v>
      </c>
    </row>
    <row r="138" spans="1:3" ht="12" customHeight="1">
      <c r="A138" s="15" t="s">
        <v>177</v>
      </c>
      <c r="B138" s="9" t="s">
        <v>461</v>
      </c>
      <c r="C138" s="309">
        <f>'9.1.1. sz. mell ÖNK'!C138</f>
        <v>0</v>
      </c>
    </row>
    <row r="139" spans="1:3" ht="12" customHeight="1" thickBot="1">
      <c r="A139" s="13" t="s">
        <v>178</v>
      </c>
      <c r="B139" s="9" t="s">
        <v>462</v>
      </c>
      <c r="C139" s="309">
        <f>'9.1.1. sz. mell ÖNK'!C139</f>
        <v>0</v>
      </c>
    </row>
    <row r="140" spans="1:3" ht="12" customHeight="1" thickBot="1">
      <c r="A140" s="20" t="s">
        <v>24</v>
      </c>
      <c r="B140" s="151" t="s">
        <v>470</v>
      </c>
      <c r="C140" s="348">
        <f>+C141+C142+C143+C144</f>
        <v>900000</v>
      </c>
    </row>
    <row r="141" spans="1:3" ht="12" customHeight="1">
      <c r="A141" s="15" t="s">
        <v>97</v>
      </c>
      <c r="B141" s="9" t="s">
        <v>377</v>
      </c>
      <c r="C141" s="309">
        <f>'9.1.1. sz. mell ÖNK'!C141</f>
        <v>0</v>
      </c>
    </row>
    <row r="142" spans="1:3" ht="12" customHeight="1">
      <c r="A142" s="15" t="s">
        <v>98</v>
      </c>
      <c r="B142" s="9" t="s">
        <v>378</v>
      </c>
      <c r="C142" s="309">
        <f>'9.1.1. sz. mell ÖNK'!C142</f>
        <v>0</v>
      </c>
    </row>
    <row r="143" spans="1:3" ht="12" customHeight="1">
      <c r="A143" s="15" t="s">
        <v>291</v>
      </c>
      <c r="B143" s="9" t="s">
        <v>471</v>
      </c>
      <c r="C143" s="309">
        <f>'9.1.1. sz. mell ÖNK'!C144</f>
        <v>0</v>
      </c>
    </row>
    <row r="144" spans="1:3" ht="12" customHeight="1" thickBot="1">
      <c r="A144" s="13" t="s">
        <v>292</v>
      </c>
      <c r="B144" s="7" t="s">
        <v>397</v>
      </c>
      <c r="C144" s="309">
        <f>'9.1.1. sz. mell ÖNK'!C145</f>
        <v>900000</v>
      </c>
    </row>
    <row r="145" spans="1:3" ht="12" customHeight="1" thickBot="1">
      <c r="A145" s="20" t="s">
        <v>25</v>
      </c>
      <c r="B145" s="151" t="s">
        <v>472</v>
      </c>
      <c r="C145" s="351">
        <f>SUM(C146:C150)</f>
        <v>0</v>
      </c>
    </row>
    <row r="146" spans="1:3" ht="12" customHeight="1">
      <c r="A146" s="15" t="s">
        <v>99</v>
      </c>
      <c r="B146" s="9" t="s">
        <v>467</v>
      </c>
      <c r="C146" s="309"/>
    </row>
    <row r="147" spans="1:3" ht="12" customHeight="1">
      <c r="A147" s="15" t="s">
        <v>100</v>
      </c>
      <c r="B147" s="9" t="s">
        <v>474</v>
      </c>
      <c r="C147" s="309"/>
    </row>
    <row r="148" spans="1:3" ht="12" customHeight="1">
      <c r="A148" s="15" t="s">
        <v>303</v>
      </c>
      <c r="B148" s="9" t="s">
        <v>469</v>
      </c>
      <c r="C148" s="309"/>
    </row>
    <row r="149" spans="1:3" ht="12" customHeight="1">
      <c r="A149" s="15" t="s">
        <v>304</v>
      </c>
      <c r="B149" s="9" t="s">
        <v>475</v>
      </c>
      <c r="C149" s="309"/>
    </row>
    <row r="150" spans="1:3" ht="12" customHeight="1" thickBot="1">
      <c r="A150" s="15" t="s">
        <v>473</v>
      </c>
      <c r="B150" s="9" t="s">
        <v>476</v>
      </c>
      <c r="C150" s="309"/>
    </row>
    <row r="151" spans="1:3" ht="12" customHeight="1" thickBot="1">
      <c r="A151" s="20" t="s">
        <v>26</v>
      </c>
      <c r="B151" s="151" t="s">
        <v>477</v>
      </c>
      <c r="C151" s="549"/>
    </row>
    <row r="152" spans="1:3" ht="12" customHeight="1" thickBot="1">
      <c r="A152" s="20" t="s">
        <v>27</v>
      </c>
      <c r="B152" s="151" t="s">
        <v>478</v>
      </c>
      <c r="C152" s="549"/>
    </row>
    <row r="153" spans="1:9" ht="15" customHeight="1" thickBot="1">
      <c r="A153" s="20" t="s">
        <v>28</v>
      </c>
      <c r="B153" s="151" t="s">
        <v>480</v>
      </c>
      <c r="C153" s="481">
        <f>+C129+C133+C140+C145+C151+C152</f>
        <v>2533000</v>
      </c>
      <c r="F153" s="482"/>
      <c r="G153" s="483"/>
      <c r="H153" s="483"/>
      <c r="I153" s="483"/>
    </row>
    <row r="154" spans="1:3" s="470" customFormat="1" ht="12.75" customHeight="1" thickBot="1">
      <c r="A154" s="340" t="s">
        <v>29</v>
      </c>
      <c r="B154" s="433" t="s">
        <v>479</v>
      </c>
      <c r="C154" s="481">
        <f>+C128+C153</f>
        <v>1085894836</v>
      </c>
    </row>
    <row r="155" ht="7.5" customHeight="1"/>
    <row r="156" spans="1:3" ht="15.75">
      <c r="A156" s="623" t="s">
        <v>379</v>
      </c>
      <c r="B156" s="623"/>
      <c r="C156" s="623"/>
    </row>
    <row r="157" spans="1:3" ht="15" customHeight="1" thickBot="1">
      <c r="A157" s="621" t="s">
        <v>158</v>
      </c>
      <c r="B157" s="621"/>
      <c r="C157" s="352" t="s">
        <v>230</v>
      </c>
    </row>
    <row r="158" spans="1:4" ht="13.5" customHeight="1" thickBot="1">
      <c r="A158" s="20">
        <v>1</v>
      </c>
      <c r="B158" s="30" t="s">
        <v>481</v>
      </c>
      <c r="C158" s="342">
        <f>+C62-C128</f>
        <v>-54337000</v>
      </c>
      <c r="D158" s="484"/>
    </row>
    <row r="159" spans="1:3" ht="27.75" customHeight="1" thickBot="1">
      <c r="A159" s="20" t="s">
        <v>20</v>
      </c>
      <c r="B159" s="30" t="s">
        <v>580</v>
      </c>
      <c r="C159" s="342">
        <f>+C86-C153</f>
        <v>82826000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Ibrány Város Önkormányzata
2016. ÉVI KÖLTSÉGVETÉS
KÖTELEZŐ FELADATAINAK MÉRLEGE &amp;R&amp;"Times New Roman CE,Félkövér dőlt"&amp;11 1.2. melléklet a ........./2016. (.......) önkormányzati rendelethez</oddHeader>
  </headerFooter>
  <rowBreaks count="1" manualBreakCount="1">
    <brk id="87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10" sqref="C10"/>
    </sheetView>
  </sheetViews>
  <sheetFormatPr defaultColWidth="9.00390625" defaultRowHeight="12.75"/>
  <cols>
    <col min="1" max="1" width="13.875" style="286" customWidth="1"/>
    <col min="2" max="2" width="79.125" style="287" customWidth="1"/>
    <col min="3" max="3" width="25.00390625" style="287" customWidth="1"/>
    <col min="4" max="16384" width="9.375" style="287" customWidth="1"/>
  </cols>
  <sheetData>
    <row r="1" spans="1:3" s="266" customFormat="1" ht="21" customHeight="1" thickBot="1">
      <c r="A1" s="265"/>
      <c r="B1" s="267"/>
      <c r="C1" s="510" t="str">
        <f>+CONCATENATE("9.4.3. melléklet a ……/",LEFT(ÖSSZEFÜGGÉSEK!A5,4),". (….) önkormányzati rendelethez")</f>
        <v>9.4.3. melléklet a ……/2016. (….) önkormányzati rendelethez</v>
      </c>
    </row>
    <row r="2" spans="1:3" s="511" customFormat="1" ht="25.5" customHeight="1">
      <c r="A2" s="461" t="s">
        <v>205</v>
      </c>
      <c r="B2" s="403" t="s">
        <v>577</v>
      </c>
      <c r="C2" s="417" t="s">
        <v>438</v>
      </c>
    </row>
    <row r="3" spans="1:3" s="511" customFormat="1" ht="24.75" thickBot="1">
      <c r="A3" s="504" t="s">
        <v>204</v>
      </c>
      <c r="B3" s="404" t="s">
        <v>538</v>
      </c>
      <c r="C3" s="418" t="s">
        <v>62</v>
      </c>
    </row>
    <row r="4" spans="1:3" s="512" customFormat="1" ht="15.75" customHeight="1" thickBot="1">
      <c r="A4" s="269"/>
      <c r="B4" s="269"/>
      <c r="C4" s="270" t="s">
        <v>583</v>
      </c>
    </row>
    <row r="5" spans="1:3" ht="13.5" thickBot="1">
      <c r="A5" s="462" t="s">
        <v>206</v>
      </c>
      <c r="B5" s="271" t="s">
        <v>572</v>
      </c>
      <c r="C5" s="272" t="s">
        <v>57</v>
      </c>
    </row>
    <row r="6" spans="1:3" s="513" customFormat="1" ht="12.75" customHeight="1" thickBot="1">
      <c r="A6" s="232"/>
      <c r="B6" s="233" t="s">
        <v>499</v>
      </c>
      <c r="C6" s="234" t="s">
        <v>500</v>
      </c>
    </row>
    <row r="7" spans="1:3" s="513" customFormat="1" ht="15.75" customHeight="1" thickBot="1">
      <c r="A7" s="273"/>
      <c r="B7" s="274" t="s">
        <v>58</v>
      </c>
      <c r="C7" s="275"/>
    </row>
    <row r="8" spans="1:3" s="419" customFormat="1" ht="12" customHeight="1" thickBot="1">
      <c r="A8" s="232" t="s">
        <v>19</v>
      </c>
      <c r="B8" s="276" t="s">
        <v>526</v>
      </c>
      <c r="C8" s="362">
        <f>SUM(C9:C19)</f>
        <v>0</v>
      </c>
    </row>
    <row r="9" spans="1:3" s="419" customFormat="1" ht="12" customHeight="1">
      <c r="A9" s="505" t="s">
        <v>101</v>
      </c>
      <c r="B9" s="10" t="s">
        <v>280</v>
      </c>
      <c r="C9" s="408">
        <v>0</v>
      </c>
    </row>
    <row r="10" spans="1:3" s="419" customFormat="1" ht="12" customHeight="1">
      <c r="A10" s="506" t="s">
        <v>102</v>
      </c>
      <c r="B10" s="8" t="s">
        <v>281</v>
      </c>
      <c r="C10" s="360"/>
    </row>
    <row r="11" spans="1:3" s="419" customFormat="1" ht="12" customHeight="1">
      <c r="A11" s="506" t="s">
        <v>103</v>
      </c>
      <c r="B11" s="8" t="s">
        <v>282</v>
      </c>
      <c r="C11" s="360"/>
    </row>
    <row r="12" spans="1:3" s="419" customFormat="1" ht="12" customHeight="1">
      <c r="A12" s="506" t="s">
        <v>104</v>
      </c>
      <c r="B12" s="8" t="s">
        <v>283</v>
      </c>
      <c r="C12" s="360"/>
    </row>
    <row r="13" spans="1:3" s="419" customFormat="1" ht="12" customHeight="1">
      <c r="A13" s="506" t="s">
        <v>152</v>
      </c>
      <c r="B13" s="8" t="s">
        <v>284</v>
      </c>
      <c r="C13" s="360"/>
    </row>
    <row r="14" spans="1:3" s="419" customFormat="1" ht="12" customHeight="1">
      <c r="A14" s="506" t="s">
        <v>105</v>
      </c>
      <c r="B14" s="8" t="s">
        <v>406</v>
      </c>
      <c r="C14" s="360"/>
    </row>
    <row r="15" spans="1:3" s="419" customFormat="1" ht="12" customHeight="1">
      <c r="A15" s="506" t="s">
        <v>106</v>
      </c>
      <c r="B15" s="7" t="s">
        <v>407</v>
      </c>
      <c r="C15" s="360"/>
    </row>
    <row r="16" spans="1:3" s="419" customFormat="1" ht="12" customHeight="1">
      <c r="A16" s="506" t="s">
        <v>116</v>
      </c>
      <c r="B16" s="8" t="s">
        <v>287</v>
      </c>
      <c r="C16" s="409"/>
    </row>
    <row r="17" spans="1:3" s="514" customFormat="1" ht="12" customHeight="1">
      <c r="A17" s="506" t="s">
        <v>117</v>
      </c>
      <c r="B17" s="8" t="s">
        <v>288</v>
      </c>
      <c r="C17" s="360"/>
    </row>
    <row r="18" spans="1:3" s="514" customFormat="1" ht="12" customHeight="1">
      <c r="A18" s="506" t="s">
        <v>118</v>
      </c>
      <c r="B18" s="8" t="s">
        <v>443</v>
      </c>
      <c r="C18" s="361"/>
    </row>
    <row r="19" spans="1:3" s="514" customFormat="1" ht="12" customHeight="1" thickBot="1">
      <c r="A19" s="506" t="s">
        <v>119</v>
      </c>
      <c r="B19" s="7" t="s">
        <v>289</v>
      </c>
      <c r="C19" s="361"/>
    </row>
    <row r="20" spans="1:3" s="419" customFormat="1" ht="12" customHeight="1" thickBot="1">
      <c r="A20" s="232" t="s">
        <v>20</v>
      </c>
      <c r="B20" s="276" t="s">
        <v>408</v>
      </c>
      <c r="C20" s="362">
        <f>SUM(C21:C23)</f>
        <v>0</v>
      </c>
    </row>
    <row r="21" spans="1:3" s="514" customFormat="1" ht="12" customHeight="1">
      <c r="A21" s="506" t="s">
        <v>107</v>
      </c>
      <c r="B21" s="9" t="s">
        <v>261</v>
      </c>
      <c r="C21" s="360"/>
    </row>
    <row r="22" spans="1:3" s="514" customFormat="1" ht="12" customHeight="1">
      <c r="A22" s="506" t="s">
        <v>108</v>
      </c>
      <c r="B22" s="8" t="s">
        <v>409</v>
      </c>
      <c r="C22" s="360"/>
    </row>
    <row r="23" spans="1:3" s="514" customFormat="1" ht="12" customHeight="1">
      <c r="A23" s="506" t="s">
        <v>109</v>
      </c>
      <c r="B23" s="8" t="s">
        <v>410</v>
      </c>
      <c r="C23" s="360"/>
    </row>
    <row r="24" spans="1:3" s="514" customFormat="1" ht="12" customHeight="1" thickBot="1">
      <c r="A24" s="506" t="s">
        <v>110</v>
      </c>
      <c r="B24" s="8" t="s">
        <v>531</v>
      </c>
      <c r="C24" s="360"/>
    </row>
    <row r="25" spans="1:3" s="514" customFormat="1" ht="12" customHeight="1" thickBot="1">
      <c r="A25" s="240" t="s">
        <v>21</v>
      </c>
      <c r="B25" s="151" t="s">
        <v>175</v>
      </c>
      <c r="C25" s="389"/>
    </row>
    <row r="26" spans="1:3" s="514" customFormat="1" ht="12" customHeight="1" thickBot="1">
      <c r="A26" s="240" t="s">
        <v>22</v>
      </c>
      <c r="B26" s="151" t="s">
        <v>411</v>
      </c>
      <c r="C26" s="362">
        <f>+C27+C28</f>
        <v>0</v>
      </c>
    </row>
    <row r="27" spans="1:3" s="514" customFormat="1" ht="12" customHeight="1">
      <c r="A27" s="507" t="s">
        <v>271</v>
      </c>
      <c r="B27" s="508" t="s">
        <v>409</v>
      </c>
      <c r="C27" s="95"/>
    </row>
    <row r="28" spans="1:3" s="514" customFormat="1" ht="12" customHeight="1">
      <c r="A28" s="507" t="s">
        <v>272</v>
      </c>
      <c r="B28" s="509" t="s">
        <v>412</v>
      </c>
      <c r="C28" s="363"/>
    </row>
    <row r="29" spans="1:3" s="514" customFormat="1" ht="12" customHeight="1" thickBot="1">
      <c r="A29" s="506" t="s">
        <v>273</v>
      </c>
      <c r="B29" s="169" t="s">
        <v>532</v>
      </c>
      <c r="C29" s="102"/>
    </row>
    <row r="30" spans="1:3" s="514" customFormat="1" ht="12" customHeight="1" thickBot="1">
      <c r="A30" s="240" t="s">
        <v>23</v>
      </c>
      <c r="B30" s="151" t="s">
        <v>413</v>
      </c>
      <c r="C30" s="362">
        <f>+C31+C32+C33</f>
        <v>0</v>
      </c>
    </row>
    <row r="31" spans="1:3" s="514" customFormat="1" ht="12" customHeight="1">
      <c r="A31" s="507" t="s">
        <v>94</v>
      </c>
      <c r="B31" s="508" t="s">
        <v>294</v>
      </c>
      <c r="C31" s="95"/>
    </row>
    <row r="32" spans="1:3" s="514" customFormat="1" ht="12" customHeight="1">
      <c r="A32" s="507" t="s">
        <v>95</v>
      </c>
      <c r="B32" s="509" t="s">
        <v>295</v>
      </c>
      <c r="C32" s="363"/>
    </row>
    <row r="33" spans="1:3" s="514" customFormat="1" ht="12" customHeight="1" thickBot="1">
      <c r="A33" s="506" t="s">
        <v>96</v>
      </c>
      <c r="B33" s="169" t="s">
        <v>296</v>
      </c>
      <c r="C33" s="102"/>
    </row>
    <row r="34" spans="1:3" s="419" customFormat="1" ht="12" customHeight="1" thickBot="1">
      <c r="A34" s="240" t="s">
        <v>24</v>
      </c>
      <c r="B34" s="151" t="s">
        <v>382</v>
      </c>
      <c r="C34" s="389"/>
    </row>
    <row r="35" spans="1:3" s="419" customFormat="1" ht="12" customHeight="1" thickBot="1">
      <c r="A35" s="240" t="s">
        <v>25</v>
      </c>
      <c r="B35" s="151" t="s">
        <v>414</v>
      </c>
      <c r="C35" s="410"/>
    </row>
    <row r="36" spans="1:3" s="419" customFormat="1" ht="12" customHeight="1" thickBot="1">
      <c r="A36" s="232" t="s">
        <v>26</v>
      </c>
      <c r="B36" s="151" t="s">
        <v>533</v>
      </c>
      <c r="C36" s="411">
        <f>+C8+C20+C25+C26+C30+C34+C35</f>
        <v>0</v>
      </c>
    </row>
    <row r="37" spans="1:3" s="419" customFormat="1" ht="12" customHeight="1" thickBot="1">
      <c r="A37" s="277" t="s">
        <v>27</v>
      </c>
      <c r="B37" s="151" t="s">
        <v>416</v>
      </c>
      <c r="C37" s="411">
        <f>+C38+C39+C40</f>
        <v>0</v>
      </c>
    </row>
    <row r="38" spans="1:3" s="419" customFormat="1" ht="12" customHeight="1">
      <c r="A38" s="507" t="s">
        <v>417</v>
      </c>
      <c r="B38" s="508" t="s">
        <v>239</v>
      </c>
      <c r="C38" s="95"/>
    </row>
    <row r="39" spans="1:3" s="419" customFormat="1" ht="12" customHeight="1">
      <c r="A39" s="507" t="s">
        <v>418</v>
      </c>
      <c r="B39" s="509" t="s">
        <v>2</v>
      </c>
      <c r="C39" s="363"/>
    </row>
    <row r="40" spans="1:3" s="514" customFormat="1" ht="12" customHeight="1" thickBot="1">
      <c r="A40" s="506" t="s">
        <v>419</v>
      </c>
      <c r="B40" s="169" t="s">
        <v>420</v>
      </c>
      <c r="C40" s="102"/>
    </row>
    <row r="41" spans="1:3" s="514" customFormat="1" ht="15" customHeight="1" thickBot="1">
      <c r="A41" s="277" t="s">
        <v>28</v>
      </c>
      <c r="B41" s="278" t="s">
        <v>421</v>
      </c>
      <c r="C41" s="414">
        <f>+C36+C37</f>
        <v>0</v>
      </c>
    </row>
    <row r="42" spans="1:3" s="514" customFormat="1" ht="15" customHeight="1">
      <c r="A42" s="279"/>
      <c r="B42" s="280"/>
      <c r="C42" s="412"/>
    </row>
    <row r="43" spans="1:3" ht="13.5" thickBot="1">
      <c r="A43" s="281"/>
      <c r="B43" s="282"/>
      <c r="C43" s="413"/>
    </row>
    <row r="44" spans="1:3" s="513" customFormat="1" ht="16.5" customHeight="1" thickBot="1">
      <c r="A44" s="283"/>
      <c r="B44" s="284" t="s">
        <v>59</v>
      </c>
      <c r="C44" s="414"/>
    </row>
    <row r="45" spans="1:3" s="515" customFormat="1" ht="12" customHeight="1" thickBot="1">
      <c r="A45" s="240" t="s">
        <v>19</v>
      </c>
      <c r="B45" s="151" t="s">
        <v>422</v>
      </c>
      <c r="C45" s="362">
        <f>SUM(C46:C50)</f>
        <v>0</v>
      </c>
    </row>
    <row r="46" spans="1:3" ht="12" customHeight="1">
      <c r="A46" s="506" t="s">
        <v>101</v>
      </c>
      <c r="B46" s="9" t="s">
        <v>50</v>
      </c>
      <c r="C46" s="95"/>
    </row>
    <row r="47" spans="1:3" ht="12" customHeight="1">
      <c r="A47" s="506" t="s">
        <v>102</v>
      </c>
      <c r="B47" s="8" t="s">
        <v>184</v>
      </c>
      <c r="C47" s="98"/>
    </row>
    <row r="48" spans="1:3" ht="12" customHeight="1">
      <c r="A48" s="506" t="s">
        <v>103</v>
      </c>
      <c r="B48" s="8" t="s">
        <v>144</v>
      </c>
      <c r="C48" s="98"/>
    </row>
    <row r="49" spans="1:3" ht="12" customHeight="1">
      <c r="A49" s="506" t="s">
        <v>104</v>
      </c>
      <c r="B49" s="8" t="s">
        <v>185</v>
      </c>
      <c r="C49" s="98"/>
    </row>
    <row r="50" spans="1:3" ht="12" customHeight="1" thickBot="1">
      <c r="A50" s="506" t="s">
        <v>152</v>
      </c>
      <c r="B50" s="8" t="s">
        <v>186</v>
      </c>
      <c r="C50" s="98"/>
    </row>
    <row r="51" spans="1:3" ht="12" customHeight="1" thickBot="1">
      <c r="A51" s="240" t="s">
        <v>20</v>
      </c>
      <c r="B51" s="151" t="s">
        <v>423</v>
      </c>
      <c r="C51" s="362">
        <f>SUM(C52:C54)</f>
        <v>0</v>
      </c>
    </row>
    <row r="52" spans="1:3" s="515" customFormat="1" ht="12" customHeight="1">
      <c r="A52" s="506" t="s">
        <v>107</v>
      </c>
      <c r="B52" s="9" t="s">
        <v>229</v>
      </c>
      <c r="C52" s="95"/>
    </row>
    <row r="53" spans="1:3" ht="12" customHeight="1">
      <c r="A53" s="506" t="s">
        <v>108</v>
      </c>
      <c r="B53" s="8" t="s">
        <v>188</v>
      </c>
      <c r="C53" s="98"/>
    </row>
    <row r="54" spans="1:3" ht="12" customHeight="1">
      <c r="A54" s="506" t="s">
        <v>109</v>
      </c>
      <c r="B54" s="8" t="s">
        <v>60</v>
      </c>
      <c r="C54" s="98"/>
    </row>
    <row r="55" spans="1:3" ht="12" customHeight="1" thickBot="1">
      <c r="A55" s="506" t="s">
        <v>110</v>
      </c>
      <c r="B55" s="8" t="s">
        <v>530</v>
      </c>
      <c r="C55" s="98"/>
    </row>
    <row r="56" spans="1:3" ht="15" customHeight="1" thickBot="1">
      <c r="A56" s="240" t="s">
        <v>21</v>
      </c>
      <c r="B56" s="151" t="s">
        <v>13</v>
      </c>
      <c r="C56" s="389"/>
    </row>
    <row r="57" spans="1:3" ht="13.5" thickBot="1">
      <c r="A57" s="240" t="s">
        <v>22</v>
      </c>
      <c r="B57" s="285" t="s">
        <v>537</v>
      </c>
      <c r="C57" s="415">
        <f>+C45+C51+C56</f>
        <v>0</v>
      </c>
    </row>
    <row r="58" ht="15" customHeight="1" thickBot="1">
      <c r="C58" s="416"/>
    </row>
    <row r="59" spans="1:3" ht="14.25" customHeight="1" thickBot="1">
      <c r="A59" s="288" t="s">
        <v>525</v>
      </c>
      <c r="B59" s="289"/>
      <c r="C59" s="148"/>
    </row>
    <row r="60" spans="1:3" ht="13.5" thickBot="1">
      <c r="A60" s="288" t="s">
        <v>207</v>
      </c>
      <c r="B60" s="289"/>
      <c r="C60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46">
      <selection activeCell="F48" sqref="F48"/>
    </sheetView>
  </sheetViews>
  <sheetFormatPr defaultColWidth="9.00390625" defaultRowHeight="12.75"/>
  <cols>
    <col min="1" max="1" width="13.875" style="286" customWidth="1"/>
    <col min="2" max="2" width="79.125" style="287" customWidth="1"/>
    <col min="3" max="3" width="25.00390625" style="287" customWidth="1"/>
    <col min="4" max="16384" width="9.375" style="287" customWidth="1"/>
  </cols>
  <sheetData>
    <row r="1" spans="1:3" s="266" customFormat="1" ht="21" customHeight="1" thickBot="1">
      <c r="A1" s="265"/>
      <c r="B1" s="267"/>
      <c r="C1" s="510" t="str">
        <f>+CONCATENATE("9.5. melléklet a ……/",LEFT(ÖSSZEFÜGGÉSEK!A5,4),". (….) önkormányzati rendelethez")</f>
        <v>9.5. melléklet a ……/2016. (….) önkormányzati rendelethez</v>
      </c>
    </row>
    <row r="2" spans="1:3" s="511" customFormat="1" ht="25.5" customHeight="1">
      <c r="A2" s="461" t="s">
        <v>205</v>
      </c>
      <c r="B2" s="403" t="s">
        <v>578</v>
      </c>
      <c r="C2" s="417" t="s">
        <v>582</v>
      </c>
    </row>
    <row r="3" spans="1:3" s="511" customFormat="1" ht="24.75" thickBot="1">
      <c r="A3" s="504" t="s">
        <v>204</v>
      </c>
      <c r="B3" s="404" t="s">
        <v>405</v>
      </c>
      <c r="C3" s="418"/>
    </row>
    <row r="4" spans="1:3" s="512" customFormat="1" ht="15.75" customHeight="1" thickBot="1">
      <c r="A4" s="269"/>
      <c r="B4" s="269"/>
      <c r="C4" s="270" t="s">
        <v>56</v>
      </c>
    </row>
    <row r="5" spans="1:3" ht="13.5" thickBot="1">
      <c r="A5" s="462" t="s">
        <v>206</v>
      </c>
      <c r="B5" s="271" t="s">
        <v>572</v>
      </c>
      <c r="C5" s="272" t="s">
        <v>57</v>
      </c>
    </row>
    <row r="6" spans="1:3" s="513" customFormat="1" ht="12.75" customHeight="1" thickBot="1">
      <c r="A6" s="232"/>
      <c r="B6" s="233" t="s">
        <v>499</v>
      </c>
      <c r="C6" s="234" t="s">
        <v>500</v>
      </c>
    </row>
    <row r="7" spans="1:3" s="513" customFormat="1" ht="15.75" customHeight="1" thickBot="1">
      <c r="A7" s="273"/>
      <c r="B7" s="274" t="s">
        <v>58</v>
      </c>
      <c r="C7" s="275"/>
    </row>
    <row r="8" spans="1:3" s="419" customFormat="1" ht="12" customHeight="1" thickBot="1">
      <c r="A8" s="232" t="s">
        <v>19</v>
      </c>
      <c r="B8" s="276" t="s">
        <v>526</v>
      </c>
      <c r="C8" s="362">
        <f>SUM(C9:C19)</f>
        <v>0</v>
      </c>
    </row>
    <row r="9" spans="1:3" s="419" customFormat="1" ht="12" customHeight="1">
      <c r="A9" s="505" t="s">
        <v>101</v>
      </c>
      <c r="B9" s="10" t="s">
        <v>280</v>
      </c>
      <c r="C9" s="408"/>
    </row>
    <row r="10" spans="1:3" s="419" customFormat="1" ht="12" customHeight="1">
      <c r="A10" s="506" t="s">
        <v>102</v>
      </c>
      <c r="B10" s="8" t="s">
        <v>281</v>
      </c>
      <c r="C10" s="360"/>
    </row>
    <row r="11" spans="1:3" s="419" customFormat="1" ht="12" customHeight="1">
      <c r="A11" s="506" t="s">
        <v>103</v>
      </c>
      <c r="B11" s="8" t="s">
        <v>282</v>
      </c>
      <c r="C11" s="360"/>
    </row>
    <row r="12" spans="1:3" s="419" customFormat="1" ht="12" customHeight="1">
      <c r="A12" s="506" t="s">
        <v>104</v>
      </c>
      <c r="B12" s="8" t="s">
        <v>283</v>
      </c>
      <c r="C12" s="360"/>
    </row>
    <row r="13" spans="1:3" s="419" customFormat="1" ht="12" customHeight="1">
      <c r="A13" s="506" t="s">
        <v>152</v>
      </c>
      <c r="B13" s="8" t="s">
        <v>284</v>
      </c>
      <c r="C13" s="360"/>
    </row>
    <row r="14" spans="1:3" s="419" customFormat="1" ht="12" customHeight="1">
      <c r="A14" s="506" t="s">
        <v>105</v>
      </c>
      <c r="B14" s="8" t="s">
        <v>406</v>
      </c>
      <c r="C14" s="360"/>
    </row>
    <row r="15" spans="1:3" s="419" customFormat="1" ht="12" customHeight="1">
      <c r="A15" s="506" t="s">
        <v>106</v>
      </c>
      <c r="B15" s="7" t="s">
        <v>407</v>
      </c>
      <c r="C15" s="360"/>
    </row>
    <row r="16" spans="1:3" s="419" customFormat="1" ht="12" customHeight="1">
      <c r="A16" s="506" t="s">
        <v>116</v>
      </c>
      <c r="B16" s="8" t="s">
        <v>287</v>
      </c>
      <c r="C16" s="409"/>
    </row>
    <row r="17" spans="1:3" s="514" customFormat="1" ht="12" customHeight="1">
      <c r="A17" s="506" t="s">
        <v>117</v>
      </c>
      <c r="B17" s="8" t="s">
        <v>288</v>
      </c>
      <c r="C17" s="360"/>
    </row>
    <row r="18" spans="1:3" s="514" customFormat="1" ht="12" customHeight="1">
      <c r="A18" s="506" t="s">
        <v>118</v>
      </c>
      <c r="B18" s="8" t="s">
        <v>443</v>
      </c>
      <c r="C18" s="361"/>
    </row>
    <row r="19" spans="1:3" s="514" customFormat="1" ht="12" customHeight="1" thickBot="1">
      <c r="A19" s="506" t="s">
        <v>119</v>
      </c>
      <c r="B19" s="7" t="s">
        <v>289</v>
      </c>
      <c r="C19" s="361"/>
    </row>
    <row r="20" spans="1:3" s="419" customFormat="1" ht="12" customHeight="1" thickBot="1">
      <c r="A20" s="232" t="s">
        <v>20</v>
      </c>
      <c r="B20" s="276" t="s">
        <v>408</v>
      </c>
      <c r="C20" s="362">
        <f>SUM(C21:C23)</f>
        <v>0</v>
      </c>
    </row>
    <row r="21" spans="1:3" s="514" customFormat="1" ht="12" customHeight="1">
      <c r="A21" s="506" t="s">
        <v>107</v>
      </c>
      <c r="B21" s="9" t="s">
        <v>261</v>
      </c>
      <c r="C21" s="360"/>
    </row>
    <row r="22" spans="1:3" s="514" customFormat="1" ht="12" customHeight="1">
      <c r="A22" s="506" t="s">
        <v>108</v>
      </c>
      <c r="B22" s="8" t="s">
        <v>409</v>
      </c>
      <c r="C22" s="360"/>
    </row>
    <row r="23" spans="1:3" s="514" customFormat="1" ht="12" customHeight="1">
      <c r="A23" s="506" t="s">
        <v>109</v>
      </c>
      <c r="B23" s="8" t="s">
        <v>410</v>
      </c>
      <c r="C23" s="360"/>
    </row>
    <row r="24" spans="1:3" s="514" customFormat="1" ht="12" customHeight="1" thickBot="1">
      <c r="A24" s="506" t="s">
        <v>110</v>
      </c>
      <c r="B24" s="8" t="s">
        <v>531</v>
      </c>
      <c r="C24" s="360"/>
    </row>
    <row r="25" spans="1:3" s="514" customFormat="1" ht="12" customHeight="1" thickBot="1">
      <c r="A25" s="240" t="s">
        <v>21</v>
      </c>
      <c r="B25" s="151" t="s">
        <v>175</v>
      </c>
      <c r="C25" s="389"/>
    </row>
    <row r="26" spans="1:3" s="514" customFormat="1" ht="12" customHeight="1" thickBot="1">
      <c r="A26" s="240" t="s">
        <v>22</v>
      </c>
      <c r="B26" s="151" t="s">
        <v>411</v>
      </c>
      <c r="C26" s="362">
        <f>+C27+C28</f>
        <v>0</v>
      </c>
    </row>
    <row r="27" spans="1:3" s="514" customFormat="1" ht="12" customHeight="1">
      <c r="A27" s="507" t="s">
        <v>271</v>
      </c>
      <c r="B27" s="508" t="s">
        <v>409</v>
      </c>
      <c r="C27" s="95"/>
    </row>
    <row r="28" spans="1:3" s="514" customFormat="1" ht="12" customHeight="1">
      <c r="A28" s="507" t="s">
        <v>272</v>
      </c>
      <c r="B28" s="509" t="s">
        <v>412</v>
      </c>
      <c r="C28" s="363"/>
    </row>
    <row r="29" spans="1:3" s="514" customFormat="1" ht="12" customHeight="1" thickBot="1">
      <c r="A29" s="506" t="s">
        <v>273</v>
      </c>
      <c r="B29" s="169" t="s">
        <v>532</v>
      </c>
      <c r="C29" s="102"/>
    </row>
    <row r="30" spans="1:3" s="514" customFormat="1" ht="12" customHeight="1" thickBot="1">
      <c r="A30" s="240" t="s">
        <v>23</v>
      </c>
      <c r="B30" s="151" t="s">
        <v>413</v>
      </c>
      <c r="C30" s="362">
        <f>+C31+C32+C33</f>
        <v>0</v>
      </c>
    </row>
    <row r="31" spans="1:3" s="514" customFormat="1" ht="12" customHeight="1">
      <c r="A31" s="507" t="s">
        <v>94</v>
      </c>
      <c r="B31" s="508" t="s">
        <v>294</v>
      </c>
      <c r="C31" s="95"/>
    </row>
    <row r="32" spans="1:3" s="514" customFormat="1" ht="12" customHeight="1">
      <c r="A32" s="507" t="s">
        <v>95</v>
      </c>
      <c r="B32" s="509" t="s">
        <v>295</v>
      </c>
      <c r="C32" s="363"/>
    </row>
    <row r="33" spans="1:3" s="514" customFormat="1" ht="12" customHeight="1" thickBot="1">
      <c r="A33" s="506" t="s">
        <v>96</v>
      </c>
      <c r="B33" s="169" t="s">
        <v>296</v>
      </c>
      <c r="C33" s="102"/>
    </row>
    <row r="34" spans="1:3" s="419" customFormat="1" ht="12" customHeight="1" thickBot="1">
      <c r="A34" s="240" t="s">
        <v>24</v>
      </c>
      <c r="B34" s="151" t="s">
        <v>382</v>
      </c>
      <c r="C34" s="389"/>
    </row>
    <row r="35" spans="1:3" s="419" customFormat="1" ht="12" customHeight="1" thickBot="1">
      <c r="A35" s="240" t="s">
        <v>25</v>
      </c>
      <c r="B35" s="151" t="s">
        <v>414</v>
      </c>
      <c r="C35" s="410"/>
    </row>
    <row r="36" spans="1:3" s="419" customFormat="1" ht="12" customHeight="1" thickBot="1">
      <c r="A36" s="232" t="s">
        <v>26</v>
      </c>
      <c r="B36" s="151" t="s">
        <v>533</v>
      </c>
      <c r="C36" s="411">
        <f>+C8+C20+C25+C26+C30+C34+C35</f>
        <v>0</v>
      </c>
    </row>
    <row r="37" spans="1:3" s="419" customFormat="1" ht="12" customHeight="1" thickBot="1">
      <c r="A37" s="277" t="s">
        <v>27</v>
      </c>
      <c r="B37" s="151" t="s">
        <v>416</v>
      </c>
      <c r="C37" s="411">
        <f>+C38+C39+C40</f>
        <v>103544000</v>
      </c>
    </row>
    <row r="38" spans="1:3" s="419" customFormat="1" ht="12" customHeight="1">
      <c r="A38" s="507" t="s">
        <v>417</v>
      </c>
      <c r="B38" s="508" t="s">
        <v>239</v>
      </c>
      <c r="C38" s="95">
        <f>'9.5.1. sz. mell OVI'!C38+'9.5.2. sz. mell OVI'!C38+'9.5.3. sz. mell OVI'!C38</f>
        <v>0</v>
      </c>
    </row>
    <row r="39" spans="1:3" s="419" customFormat="1" ht="12" customHeight="1">
      <c r="A39" s="507" t="s">
        <v>418</v>
      </c>
      <c r="B39" s="509" t="s">
        <v>2</v>
      </c>
      <c r="C39" s="363"/>
    </row>
    <row r="40" spans="1:3" s="514" customFormat="1" ht="12" customHeight="1" thickBot="1">
      <c r="A40" s="506" t="s">
        <v>419</v>
      </c>
      <c r="B40" s="169" t="s">
        <v>420</v>
      </c>
      <c r="C40" s="102">
        <f>'9.5.1. sz. mell OVI'!C40+'9.5.2. sz. mell OVI'!C40+'9.5.3. sz. mell OVI'!C40</f>
        <v>103544000</v>
      </c>
    </row>
    <row r="41" spans="1:3" s="514" customFormat="1" ht="15" customHeight="1" thickBot="1">
      <c r="A41" s="277" t="s">
        <v>28</v>
      </c>
      <c r="B41" s="278" t="s">
        <v>421</v>
      </c>
      <c r="C41" s="414">
        <f>+C36+C37</f>
        <v>103544000</v>
      </c>
    </row>
    <row r="42" spans="1:3" s="514" customFormat="1" ht="15" customHeight="1">
      <c r="A42" s="279"/>
      <c r="B42" s="280"/>
      <c r="C42" s="412"/>
    </row>
    <row r="43" spans="1:3" ht="13.5" thickBot="1">
      <c r="A43" s="281"/>
      <c r="B43" s="282"/>
      <c r="C43" s="413"/>
    </row>
    <row r="44" spans="1:3" s="513" customFormat="1" ht="16.5" customHeight="1" thickBot="1">
      <c r="A44" s="283"/>
      <c r="B44" s="284" t="s">
        <v>59</v>
      </c>
      <c r="C44" s="414"/>
    </row>
    <row r="45" spans="1:3" s="515" customFormat="1" ht="12" customHeight="1" thickBot="1">
      <c r="A45" s="240" t="s">
        <v>19</v>
      </c>
      <c r="B45" s="151" t="s">
        <v>422</v>
      </c>
      <c r="C45" s="362">
        <f>SUM(C46:C50)</f>
        <v>103544000</v>
      </c>
    </row>
    <row r="46" spans="1:3" ht="12" customHeight="1">
      <c r="A46" s="506" t="s">
        <v>101</v>
      </c>
      <c r="B46" s="9" t="s">
        <v>50</v>
      </c>
      <c r="C46" s="95">
        <f>'9.5.1. sz. mell OVI'!C46</f>
        <v>67835000</v>
      </c>
    </row>
    <row r="47" spans="1:3" ht="12" customHeight="1">
      <c r="A47" s="506" t="s">
        <v>102</v>
      </c>
      <c r="B47" s="8" t="s">
        <v>184</v>
      </c>
      <c r="C47" s="95">
        <f>'9.5.1. sz. mell OVI'!C47</f>
        <v>18316000</v>
      </c>
    </row>
    <row r="48" spans="1:3" ht="12" customHeight="1">
      <c r="A48" s="506" t="s">
        <v>103</v>
      </c>
      <c r="B48" s="8" t="s">
        <v>144</v>
      </c>
      <c r="C48" s="95">
        <f>'9.5.1. sz. mell OVI'!C48</f>
        <v>17393000</v>
      </c>
    </row>
    <row r="49" spans="1:3" ht="12" customHeight="1">
      <c r="A49" s="506" t="s">
        <v>104</v>
      </c>
      <c r="B49" s="8" t="s">
        <v>185</v>
      </c>
      <c r="C49" s="95">
        <f>'9.5.1. sz. mell OVI'!C49</f>
        <v>0</v>
      </c>
    </row>
    <row r="50" spans="1:3" ht="12" customHeight="1" thickBot="1">
      <c r="A50" s="506" t="s">
        <v>152</v>
      </c>
      <c r="B50" s="8" t="s">
        <v>186</v>
      </c>
      <c r="C50" s="95">
        <f>'9.5.1. sz. mell OVI'!C50</f>
        <v>0</v>
      </c>
    </row>
    <row r="51" spans="1:3" ht="12" customHeight="1" thickBot="1">
      <c r="A51" s="240" t="s">
        <v>20</v>
      </c>
      <c r="B51" s="151" t="s">
        <v>423</v>
      </c>
      <c r="C51" s="362">
        <f>SUM(C52:C54)</f>
        <v>0</v>
      </c>
    </row>
    <row r="52" spans="1:3" s="515" customFormat="1" ht="12" customHeight="1">
      <c r="A52" s="506" t="s">
        <v>107</v>
      </c>
      <c r="B52" s="9" t="s">
        <v>229</v>
      </c>
      <c r="C52" s="95"/>
    </row>
    <row r="53" spans="1:3" ht="12" customHeight="1">
      <c r="A53" s="506" t="s">
        <v>108</v>
      </c>
      <c r="B53" s="8" t="s">
        <v>188</v>
      </c>
      <c r="C53" s="98"/>
    </row>
    <row r="54" spans="1:3" ht="12" customHeight="1">
      <c r="A54" s="506" t="s">
        <v>109</v>
      </c>
      <c r="B54" s="8" t="s">
        <v>60</v>
      </c>
      <c r="C54" s="98"/>
    </row>
    <row r="55" spans="1:3" ht="12" customHeight="1" thickBot="1">
      <c r="A55" s="506" t="s">
        <v>110</v>
      </c>
      <c r="B55" s="8" t="s">
        <v>530</v>
      </c>
      <c r="C55" s="98"/>
    </row>
    <row r="56" spans="1:3" ht="15" customHeight="1" thickBot="1">
      <c r="A56" s="240" t="s">
        <v>21</v>
      </c>
      <c r="B56" s="151" t="s">
        <v>13</v>
      </c>
      <c r="C56" s="389"/>
    </row>
    <row r="57" spans="1:3" ht="13.5" thickBot="1">
      <c r="A57" s="240" t="s">
        <v>22</v>
      </c>
      <c r="B57" s="285" t="s">
        <v>537</v>
      </c>
      <c r="C57" s="415">
        <f>+C45+C51+C56</f>
        <v>103544000</v>
      </c>
    </row>
    <row r="58" ht="15" customHeight="1" thickBot="1">
      <c r="C58" s="416"/>
    </row>
    <row r="59" spans="1:3" ht="14.25" customHeight="1" thickBot="1">
      <c r="A59" s="288" t="s">
        <v>525</v>
      </c>
      <c r="B59" s="289"/>
      <c r="C59" s="148"/>
    </row>
    <row r="60" spans="1:3" ht="13.5" thickBot="1">
      <c r="A60" s="288" t="s">
        <v>207</v>
      </c>
      <c r="B60" s="289"/>
      <c r="C60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28">
      <selection activeCell="C48" sqref="C48"/>
    </sheetView>
  </sheetViews>
  <sheetFormatPr defaultColWidth="9.00390625" defaultRowHeight="12.75"/>
  <cols>
    <col min="1" max="1" width="13.875" style="286" customWidth="1"/>
    <col min="2" max="2" width="79.125" style="287" customWidth="1"/>
    <col min="3" max="3" width="25.00390625" style="287" customWidth="1"/>
    <col min="4" max="16384" width="9.375" style="287" customWidth="1"/>
  </cols>
  <sheetData>
    <row r="1" spans="1:3" s="266" customFormat="1" ht="21" customHeight="1" thickBot="1">
      <c r="A1" s="265"/>
      <c r="B1" s="267"/>
      <c r="C1" s="510" t="str">
        <f>+CONCATENATE("9.5.1. melléklet a ……/",LEFT(ÖSSZEFÜGGÉSEK!A5,4),". (….) önkormányzati rendelethez")</f>
        <v>9.5.1. melléklet a ……/2016. (….) önkormányzati rendelethez</v>
      </c>
    </row>
    <row r="2" spans="1:3" s="511" customFormat="1" ht="25.5" customHeight="1">
      <c r="A2" s="461" t="s">
        <v>205</v>
      </c>
      <c r="B2" s="403" t="s">
        <v>578</v>
      </c>
      <c r="C2" s="417" t="s">
        <v>582</v>
      </c>
    </row>
    <row r="3" spans="1:3" s="511" customFormat="1" ht="24.75" thickBot="1">
      <c r="A3" s="504" t="s">
        <v>204</v>
      </c>
      <c r="B3" s="404" t="s">
        <v>424</v>
      </c>
      <c r="C3" s="418" t="s">
        <v>55</v>
      </c>
    </row>
    <row r="4" spans="1:3" s="512" customFormat="1" ht="15.75" customHeight="1" thickBot="1">
      <c r="A4" s="269"/>
      <c r="B4" s="269"/>
      <c r="C4" s="270" t="s">
        <v>56</v>
      </c>
    </row>
    <row r="5" spans="1:3" ht="13.5" thickBot="1">
      <c r="A5" s="462" t="s">
        <v>206</v>
      </c>
      <c r="B5" s="271" t="s">
        <v>572</v>
      </c>
      <c r="C5" s="272" t="s">
        <v>57</v>
      </c>
    </row>
    <row r="6" spans="1:3" s="513" customFormat="1" ht="12.75" customHeight="1" thickBot="1">
      <c r="A6" s="232"/>
      <c r="B6" s="233" t="s">
        <v>499</v>
      </c>
      <c r="C6" s="234" t="s">
        <v>500</v>
      </c>
    </row>
    <row r="7" spans="1:3" s="513" customFormat="1" ht="15.75" customHeight="1" thickBot="1">
      <c r="A7" s="273"/>
      <c r="B7" s="274" t="s">
        <v>58</v>
      </c>
      <c r="C7" s="275"/>
    </row>
    <row r="8" spans="1:3" s="419" customFormat="1" ht="12" customHeight="1" thickBot="1">
      <c r="A8" s="232" t="s">
        <v>19</v>
      </c>
      <c r="B8" s="276" t="s">
        <v>526</v>
      </c>
      <c r="C8" s="362">
        <f>SUM(C9:C19)</f>
        <v>0</v>
      </c>
    </row>
    <row r="9" spans="1:3" s="419" customFormat="1" ht="12" customHeight="1">
      <c r="A9" s="505" t="s">
        <v>101</v>
      </c>
      <c r="B9" s="10" t="s">
        <v>280</v>
      </c>
      <c r="C9" s="408"/>
    </row>
    <row r="10" spans="1:3" s="419" customFormat="1" ht="12" customHeight="1">
      <c r="A10" s="506" t="s">
        <v>102</v>
      </c>
      <c r="B10" s="8" t="s">
        <v>281</v>
      </c>
      <c r="C10" s="360"/>
    </row>
    <row r="11" spans="1:3" s="419" customFormat="1" ht="12" customHeight="1">
      <c r="A11" s="506" t="s">
        <v>103</v>
      </c>
      <c r="B11" s="8" t="s">
        <v>282</v>
      </c>
      <c r="C11" s="360"/>
    </row>
    <row r="12" spans="1:3" s="419" customFormat="1" ht="12" customHeight="1">
      <c r="A12" s="506" t="s">
        <v>104</v>
      </c>
      <c r="B12" s="8" t="s">
        <v>283</v>
      </c>
      <c r="C12" s="360"/>
    </row>
    <row r="13" spans="1:3" s="419" customFormat="1" ht="12" customHeight="1">
      <c r="A13" s="506" t="s">
        <v>152</v>
      </c>
      <c r="B13" s="8" t="s">
        <v>284</v>
      </c>
      <c r="C13" s="360"/>
    </row>
    <row r="14" spans="1:3" s="419" customFormat="1" ht="12" customHeight="1">
      <c r="A14" s="506" t="s">
        <v>105</v>
      </c>
      <c r="B14" s="8" t="s">
        <v>406</v>
      </c>
      <c r="C14" s="360"/>
    </row>
    <row r="15" spans="1:3" s="419" customFormat="1" ht="12" customHeight="1">
      <c r="A15" s="506" t="s">
        <v>106</v>
      </c>
      <c r="B15" s="7" t="s">
        <v>407</v>
      </c>
      <c r="C15" s="360"/>
    </row>
    <row r="16" spans="1:3" s="419" customFormat="1" ht="12" customHeight="1">
      <c r="A16" s="506" t="s">
        <v>116</v>
      </c>
      <c r="B16" s="8" t="s">
        <v>287</v>
      </c>
      <c r="C16" s="409"/>
    </row>
    <row r="17" spans="1:3" s="514" customFormat="1" ht="12" customHeight="1">
      <c r="A17" s="506" t="s">
        <v>117</v>
      </c>
      <c r="B17" s="8" t="s">
        <v>288</v>
      </c>
      <c r="C17" s="360"/>
    </row>
    <row r="18" spans="1:3" s="514" customFormat="1" ht="12" customHeight="1">
      <c r="A18" s="506" t="s">
        <v>118</v>
      </c>
      <c r="B18" s="8" t="s">
        <v>443</v>
      </c>
      <c r="C18" s="361"/>
    </row>
    <row r="19" spans="1:3" s="514" customFormat="1" ht="12" customHeight="1" thickBot="1">
      <c r="A19" s="506" t="s">
        <v>119</v>
      </c>
      <c r="B19" s="7" t="s">
        <v>289</v>
      </c>
      <c r="C19" s="361"/>
    </row>
    <row r="20" spans="1:3" s="419" customFormat="1" ht="12" customHeight="1" thickBot="1">
      <c r="A20" s="232" t="s">
        <v>20</v>
      </c>
      <c r="B20" s="276" t="s">
        <v>408</v>
      </c>
      <c r="C20" s="362">
        <f>SUM(C21:C23)</f>
        <v>0</v>
      </c>
    </row>
    <row r="21" spans="1:3" s="514" customFormat="1" ht="12" customHeight="1">
      <c r="A21" s="506" t="s">
        <v>107</v>
      </c>
      <c r="B21" s="9" t="s">
        <v>261</v>
      </c>
      <c r="C21" s="360"/>
    </row>
    <row r="22" spans="1:3" s="514" customFormat="1" ht="12" customHeight="1">
      <c r="A22" s="506" t="s">
        <v>108</v>
      </c>
      <c r="B22" s="8" t="s">
        <v>409</v>
      </c>
      <c r="C22" s="360"/>
    </row>
    <row r="23" spans="1:3" s="514" customFormat="1" ht="12" customHeight="1">
      <c r="A23" s="506" t="s">
        <v>109</v>
      </c>
      <c r="B23" s="8" t="s">
        <v>410</v>
      </c>
      <c r="C23" s="360"/>
    </row>
    <row r="24" spans="1:3" s="514" customFormat="1" ht="12" customHeight="1" thickBot="1">
      <c r="A24" s="506" t="s">
        <v>110</v>
      </c>
      <c r="B24" s="8" t="s">
        <v>531</v>
      </c>
      <c r="C24" s="360"/>
    </row>
    <row r="25" spans="1:3" s="514" customFormat="1" ht="12" customHeight="1" thickBot="1">
      <c r="A25" s="240" t="s">
        <v>21</v>
      </c>
      <c r="B25" s="151" t="s">
        <v>175</v>
      </c>
      <c r="C25" s="389"/>
    </row>
    <row r="26" spans="1:3" s="514" customFormat="1" ht="12" customHeight="1" thickBot="1">
      <c r="A26" s="240" t="s">
        <v>22</v>
      </c>
      <c r="B26" s="151" t="s">
        <v>411</v>
      </c>
      <c r="C26" s="362">
        <f>+C27+C28</f>
        <v>0</v>
      </c>
    </row>
    <row r="27" spans="1:3" s="514" customFormat="1" ht="12" customHeight="1">
      <c r="A27" s="507" t="s">
        <v>271</v>
      </c>
      <c r="B27" s="508" t="s">
        <v>409</v>
      </c>
      <c r="C27" s="95"/>
    </row>
    <row r="28" spans="1:3" s="514" customFormat="1" ht="12" customHeight="1">
      <c r="A28" s="507" t="s">
        <v>272</v>
      </c>
      <c r="B28" s="509" t="s">
        <v>412</v>
      </c>
      <c r="C28" s="363"/>
    </row>
    <row r="29" spans="1:3" s="514" customFormat="1" ht="12" customHeight="1" thickBot="1">
      <c r="A29" s="506" t="s">
        <v>273</v>
      </c>
      <c r="B29" s="169" t="s">
        <v>532</v>
      </c>
      <c r="C29" s="102"/>
    </row>
    <row r="30" spans="1:3" s="514" customFormat="1" ht="12" customHeight="1" thickBot="1">
      <c r="A30" s="240" t="s">
        <v>23</v>
      </c>
      <c r="B30" s="151" t="s">
        <v>413</v>
      </c>
      <c r="C30" s="362">
        <f>+C31+C32+C33</f>
        <v>0</v>
      </c>
    </row>
    <row r="31" spans="1:3" s="514" customFormat="1" ht="12" customHeight="1">
      <c r="A31" s="507" t="s">
        <v>94</v>
      </c>
      <c r="B31" s="508" t="s">
        <v>294</v>
      </c>
      <c r="C31" s="95"/>
    </row>
    <row r="32" spans="1:3" s="514" customFormat="1" ht="12" customHeight="1">
      <c r="A32" s="507" t="s">
        <v>95</v>
      </c>
      <c r="B32" s="509" t="s">
        <v>295</v>
      </c>
      <c r="C32" s="363"/>
    </row>
    <row r="33" spans="1:3" s="514" customFormat="1" ht="12" customHeight="1" thickBot="1">
      <c r="A33" s="506" t="s">
        <v>96</v>
      </c>
      <c r="B33" s="169" t="s">
        <v>296</v>
      </c>
      <c r="C33" s="102"/>
    </row>
    <row r="34" spans="1:3" s="419" customFormat="1" ht="12" customHeight="1" thickBot="1">
      <c r="A34" s="240" t="s">
        <v>24</v>
      </c>
      <c r="B34" s="151" t="s">
        <v>382</v>
      </c>
      <c r="C34" s="389"/>
    </row>
    <row r="35" spans="1:3" s="419" customFormat="1" ht="12" customHeight="1" thickBot="1">
      <c r="A35" s="240" t="s">
        <v>25</v>
      </c>
      <c r="B35" s="151" t="s">
        <v>414</v>
      </c>
      <c r="C35" s="410"/>
    </row>
    <row r="36" spans="1:3" s="419" customFormat="1" ht="12" customHeight="1" thickBot="1">
      <c r="A36" s="232" t="s">
        <v>26</v>
      </c>
      <c r="B36" s="151" t="s">
        <v>533</v>
      </c>
      <c r="C36" s="411">
        <f>+C8+C20+C25+C26+C30+C34+C35</f>
        <v>0</v>
      </c>
    </row>
    <row r="37" spans="1:3" s="419" customFormat="1" ht="12" customHeight="1" thickBot="1">
      <c r="A37" s="277" t="s">
        <v>27</v>
      </c>
      <c r="B37" s="151" t="s">
        <v>416</v>
      </c>
      <c r="C37" s="411">
        <f>+C38+C39+C40</f>
        <v>103544000</v>
      </c>
    </row>
    <row r="38" spans="1:3" s="419" customFormat="1" ht="12" customHeight="1">
      <c r="A38" s="507" t="s">
        <v>417</v>
      </c>
      <c r="B38" s="508" t="s">
        <v>239</v>
      </c>
      <c r="C38" s="95"/>
    </row>
    <row r="39" spans="1:3" s="419" customFormat="1" ht="12" customHeight="1">
      <c r="A39" s="507" t="s">
        <v>418</v>
      </c>
      <c r="B39" s="509" t="s">
        <v>2</v>
      </c>
      <c r="C39" s="363"/>
    </row>
    <row r="40" spans="1:3" s="514" customFormat="1" ht="12" customHeight="1" thickBot="1">
      <c r="A40" s="506" t="s">
        <v>419</v>
      </c>
      <c r="B40" s="169" t="s">
        <v>420</v>
      </c>
      <c r="C40" s="102">
        <f>C57-C36</f>
        <v>103544000</v>
      </c>
    </row>
    <row r="41" spans="1:3" s="514" customFormat="1" ht="15" customHeight="1" thickBot="1">
      <c r="A41" s="277" t="s">
        <v>28</v>
      </c>
      <c r="B41" s="278" t="s">
        <v>421</v>
      </c>
      <c r="C41" s="414">
        <f>+C36+C37</f>
        <v>103544000</v>
      </c>
    </row>
    <row r="42" spans="1:3" s="514" customFormat="1" ht="15" customHeight="1">
      <c r="A42" s="279"/>
      <c r="B42" s="280"/>
      <c r="C42" s="412"/>
    </row>
    <row r="43" spans="1:3" ht="13.5" thickBot="1">
      <c r="A43" s="281"/>
      <c r="B43" s="282"/>
      <c r="C43" s="413"/>
    </row>
    <row r="44" spans="1:3" s="513" customFormat="1" ht="16.5" customHeight="1" thickBot="1">
      <c r="A44" s="283"/>
      <c r="B44" s="284" t="s">
        <v>59</v>
      </c>
      <c r="C44" s="414"/>
    </row>
    <row r="45" spans="1:3" s="515" customFormat="1" ht="12" customHeight="1" thickBot="1">
      <c r="A45" s="240" t="s">
        <v>19</v>
      </c>
      <c r="B45" s="151" t="s">
        <v>422</v>
      </c>
      <c r="C45" s="362">
        <f>SUM(C46:C50)</f>
        <v>103544000</v>
      </c>
    </row>
    <row r="46" spans="1:3" ht="12" customHeight="1">
      <c r="A46" s="506" t="s">
        <v>101</v>
      </c>
      <c r="B46" s="9" t="s">
        <v>50</v>
      </c>
      <c r="C46" s="95">
        <v>67835000</v>
      </c>
    </row>
    <row r="47" spans="1:3" ht="12" customHeight="1">
      <c r="A47" s="506" t="s">
        <v>102</v>
      </c>
      <c r="B47" s="8" t="s">
        <v>184</v>
      </c>
      <c r="C47" s="98">
        <v>18316000</v>
      </c>
    </row>
    <row r="48" spans="1:3" ht="12" customHeight="1">
      <c r="A48" s="506" t="s">
        <v>103</v>
      </c>
      <c r="B48" s="8" t="s">
        <v>144</v>
      </c>
      <c r="C48" s="98">
        <v>17393000</v>
      </c>
    </row>
    <row r="49" spans="1:3" ht="12" customHeight="1">
      <c r="A49" s="506" t="s">
        <v>104</v>
      </c>
      <c r="B49" s="8" t="s">
        <v>185</v>
      </c>
      <c r="C49" s="98"/>
    </row>
    <row r="50" spans="1:3" ht="12" customHeight="1" thickBot="1">
      <c r="A50" s="506" t="s">
        <v>152</v>
      </c>
      <c r="B50" s="8" t="s">
        <v>186</v>
      </c>
      <c r="C50" s="98"/>
    </row>
    <row r="51" spans="1:3" ht="12" customHeight="1" thickBot="1">
      <c r="A51" s="240" t="s">
        <v>20</v>
      </c>
      <c r="B51" s="151" t="s">
        <v>423</v>
      </c>
      <c r="C51" s="362">
        <f>SUM(C52:C54)</f>
        <v>0</v>
      </c>
    </row>
    <row r="52" spans="1:3" s="515" customFormat="1" ht="12" customHeight="1">
      <c r="A52" s="506" t="s">
        <v>107</v>
      </c>
      <c r="B52" s="9" t="s">
        <v>229</v>
      </c>
      <c r="C52" s="95"/>
    </row>
    <row r="53" spans="1:3" ht="12" customHeight="1">
      <c r="A53" s="506" t="s">
        <v>108</v>
      </c>
      <c r="B53" s="8" t="s">
        <v>188</v>
      </c>
      <c r="C53" s="98"/>
    </row>
    <row r="54" spans="1:3" ht="12" customHeight="1">
      <c r="A54" s="506" t="s">
        <v>109</v>
      </c>
      <c r="B54" s="8" t="s">
        <v>60</v>
      </c>
      <c r="C54" s="98"/>
    </row>
    <row r="55" spans="1:3" ht="12" customHeight="1" thickBot="1">
      <c r="A55" s="506" t="s">
        <v>110</v>
      </c>
      <c r="B55" s="8" t="s">
        <v>530</v>
      </c>
      <c r="C55" s="98"/>
    </row>
    <row r="56" spans="1:3" ht="15" customHeight="1" thickBot="1">
      <c r="A56" s="240" t="s">
        <v>21</v>
      </c>
      <c r="B56" s="151" t="s">
        <v>13</v>
      </c>
      <c r="C56" s="389"/>
    </row>
    <row r="57" spans="1:3" ht="13.5" thickBot="1">
      <c r="A57" s="240" t="s">
        <v>22</v>
      </c>
      <c r="B57" s="285" t="s">
        <v>537</v>
      </c>
      <c r="C57" s="415">
        <f>+C45+C51+C56</f>
        <v>103544000</v>
      </c>
    </row>
    <row r="58" ht="15" customHeight="1" thickBot="1">
      <c r="C58" s="416"/>
    </row>
    <row r="59" spans="1:3" ht="14.25" customHeight="1" thickBot="1">
      <c r="A59" s="288" t="s">
        <v>525</v>
      </c>
      <c r="B59" s="289"/>
      <c r="C59" s="148"/>
    </row>
    <row r="60" spans="1:3" ht="13.5" thickBot="1">
      <c r="A60" s="288" t="s">
        <v>207</v>
      </c>
      <c r="B60" s="289"/>
      <c r="C60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3" sqref="C3"/>
    </sheetView>
  </sheetViews>
  <sheetFormatPr defaultColWidth="9.00390625" defaultRowHeight="12.75"/>
  <cols>
    <col min="1" max="1" width="13.875" style="286" customWidth="1"/>
    <col min="2" max="2" width="79.125" style="287" customWidth="1"/>
    <col min="3" max="3" width="25.00390625" style="287" customWidth="1"/>
    <col min="4" max="16384" width="9.375" style="287" customWidth="1"/>
  </cols>
  <sheetData>
    <row r="1" spans="1:3" s="266" customFormat="1" ht="21" customHeight="1" thickBot="1">
      <c r="A1" s="265"/>
      <c r="B1" s="267"/>
      <c r="C1" s="510" t="str">
        <f>+CONCATENATE("9.5.2. melléklet a ……/",LEFT(ÖSSZEFÜGGÉSEK!A5,4),". (….) önkormányzati rendelethez")</f>
        <v>9.5.2. melléklet a ……/2016. (….) önkormányzati rendelethez</v>
      </c>
    </row>
    <row r="2" spans="1:3" s="511" customFormat="1" ht="25.5" customHeight="1">
      <c r="A2" s="461" t="s">
        <v>205</v>
      </c>
      <c r="B2" s="403" t="s">
        <v>578</v>
      </c>
      <c r="C2" s="417" t="s">
        <v>582</v>
      </c>
    </row>
    <row r="3" spans="1:3" s="511" customFormat="1" ht="24.75" thickBot="1">
      <c r="A3" s="504" t="s">
        <v>204</v>
      </c>
      <c r="B3" s="404" t="s">
        <v>425</v>
      </c>
      <c r="C3" s="418" t="s">
        <v>61</v>
      </c>
    </row>
    <row r="4" spans="1:3" s="512" customFormat="1" ht="15.75" customHeight="1" thickBot="1">
      <c r="A4" s="269"/>
      <c r="B4" s="269"/>
      <c r="C4" s="270" t="s">
        <v>56</v>
      </c>
    </row>
    <row r="5" spans="1:3" ht="13.5" thickBot="1">
      <c r="A5" s="462" t="s">
        <v>206</v>
      </c>
      <c r="B5" s="271" t="s">
        <v>572</v>
      </c>
      <c r="C5" s="272" t="s">
        <v>57</v>
      </c>
    </row>
    <row r="6" spans="1:3" s="513" customFormat="1" ht="12.75" customHeight="1" thickBot="1">
      <c r="A6" s="232"/>
      <c r="B6" s="233" t="s">
        <v>499</v>
      </c>
      <c r="C6" s="234" t="s">
        <v>500</v>
      </c>
    </row>
    <row r="7" spans="1:3" s="513" customFormat="1" ht="15.75" customHeight="1" thickBot="1">
      <c r="A7" s="273"/>
      <c r="B7" s="274" t="s">
        <v>58</v>
      </c>
      <c r="C7" s="275"/>
    </row>
    <row r="8" spans="1:3" s="419" customFormat="1" ht="12" customHeight="1" thickBot="1">
      <c r="A8" s="232" t="s">
        <v>19</v>
      </c>
      <c r="B8" s="276" t="s">
        <v>526</v>
      </c>
      <c r="C8" s="362">
        <f>SUM(C9:C19)</f>
        <v>0</v>
      </c>
    </row>
    <row r="9" spans="1:3" s="419" customFormat="1" ht="12" customHeight="1">
      <c r="A9" s="505" t="s">
        <v>101</v>
      </c>
      <c r="B9" s="10" t="s">
        <v>280</v>
      </c>
      <c r="C9" s="408"/>
    </row>
    <row r="10" spans="1:3" s="419" customFormat="1" ht="12" customHeight="1">
      <c r="A10" s="506" t="s">
        <v>102</v>
      </c>
      <c r="B10" s="8" t="s">
        <v>281</v>
      </c>
      <c r="C10" s="360"/>
    </row>
    <row r="11" spans="1:3" s="419" customFormat="1" ht="12" customHeight="1">
      <c r="A11" s="506" t="s">
        <v>103</v>
      </c>
      <c r="B11" s="8" t="s">
        <v>282</v>
      </c>
      <c r="C11" s="360"/>
    </row>
    <row r="12" spans="1:3" s="419" customFormat="1" ht="12" customHeight="1">
      <c r="A12" s="506" t="s">
        <v>104</v>
      </c>
      <c r="B12" s="8" t="s">
        <v>283</v>
      </c>
      <c r="C12" s="360"/>
    </row>
    <row r="13" spans="1:3" s="419" customFormat="1" ht="12" customHeight="1">
      <c r="A13" s="506" t="s">
        <v>152</v>
      </c>
      <c r="B13" s="8" t="s">
        <v>284</v>
      </c>
      <c r="C13" s="360"/>
    </row>
    <row r="14" spans="1:3" s="419" customFormat="1" ht="12" customHeight="1">
      <c r="A14" s="506" t="s">
        <v>105</v>
      </c>
      <c r="B14" s="8" t="s">
        <v>406</v>
      </c>
      <c r="C14" s="360"/>
    </row>
    <row r="15" spans="1:3" s="419" customFormat="1" ht="12" customHeight="1">
      <c r="A15" s="506" t="s">
        <v>106</v>
      </c>
      <c r="B15" s="7" t="s">
        <v>407</v>
      </c>
      <c r="C15" s="360"/>
    </row>
    <row r="16" spans="1:3" s="419" customFormat="1" ht="12" customHeight="1">
      <c r="A16" s="506" t="s">
        <v>116</v>
      </c>
      <c r="B16" s="8" t="s">
        <v>287</v>
      </c>
      <c r="C16" s="409"/>
    </row>
    <row r="17" spans="1:3" s="514" customFormat="1" ht="12" customHeight="1">
      <c r="A17" s="506" t="s">
        <v>117</v>
      </c>
      <c r="B17" s="8" t="s">
        <v>288</v>
      </c>
      <c r="C17" s="360"/>
    </row>
    <row r="18" spans="1:3" s="514" customFormat="1" ht="12" customHeight="1">
      <c r="A18" s="506" t="s">
        <v>118</v>
      </c>
      <c r="B18" s="8" t="s">
        <v>443</v>
      </c>
      <c r="C18" s="361"/>
    </row>
    <row r="19" spans="1:3" s="514" customFormat="1" ht="12" customHeight="1" thickBot="1">
      <c r="A19" s="506" t="s">
        <v>119</v>
      </c>
      <c r="B19" s="7" t="s">
        <v>289</v>
      </c>
      <c r="C19" s="361"/>
    </row>
    <row r="20" spans="1:3" s="419" customFormat="1" ht="12" customHeight="1" thickBot="1">
      <c r="A20" s="232" t="s">
        <v>20</v>
      </c>
      <c r="B20" s="276" t="s">
        <v>408</v>
      </c>
      <c r="C20" s="362">
        <f>SUM(C21:C23)</f>
        <v>0</v>
      </c>
    </row>
    <row r="21" spans="1:3" s="514" customFormat="1" ht="12" customHeight="1">
      <c r="A21" s="506" t="s">
        <v>107</v>
      </c>
      <c r="B21" s="9" t="s">
        <v>261</v>
      </c>
      <c r="C21" s="360"/>
    </row>
    <row r="22" spans="1:3" s="514" customFormat="1" ht="12" customHeight="1">
      <c r="A22" s="506" t="s">
        <v>108</v>
      </c>
      <c r="B22" s="8" t="s">
        <v>409</v>
      </c>
      <c r="C22" s="360"/>
    </row>
    <row r="23" spans="1:3" s="514" customFormat="1" ht="12" customHeight="1">
      <c r="A23" s="506" t="s">
        <v>109</v>
      </c>
      <c r="B23" s="8" t="s">
        <v>410</v>
      </c>
      <c r="C23" s="360"/>
    </row>
    <row r="24" spans="1:3" s="514" customFormat="1" ht="12" customHeight="1" thickBot="1">
      <c r="A24" s="506" t="s">
        <v>110</v>
      </c>
      <c r="B24" s="8" t="s">
        <v>531</v>
      </c>
      <c r="C24" s="360"/>
    </row>
    <row r="25" spans="1:3" s="514" customFormat="1" ht="12" customHeight="1" thickBot="1">
      <c r="A25" s="240" t="s">
        <v>21</v>
      </c>
      <c r="B25" s="151" t="s">
        <v>175</v>
      </c>
      <c r="C25" s="389"/>
    </row>
    <row r="26" spans="1:3" s="514" customFormat="1" ht="12" customHeight="1" thickBot="1">
      <c r="A26" s="240" t="s">
        <v>22</v>
      </c>
      <c r="B26" s="151" t="s">
        <v>411</v>
      </c>
      <c r="C26" s="362">
        <f>+C27+C28</f>
        <v>0</v>
      </c>
    </row>
    <row r="27" spans="1:3" s="514" customFormat="1" ht="12" customHeight="1">
      <c r="A27" s="507" t="s">
        <v>271</v>
      </c>
      <c r="B27" s="508" t="s">
        <v>409</v>
      </c>
      <c r="C27" s="95"/>
    </row>
    <row r="28" spans="1:3" s="514" customFormat="1" ht="12" customHeight="1">
      <c r="A28" s="507" t="s">
        <v>272</v>
      </c>
      <c r="B28" s="509" t="s">
        <v>412</v>
      </c>
      <c r="C28" s="363"/>
    </row>
    <row r="29" spans="1:3" s="514" customFormat="1" ht="12" customHeight="1" thickBot="1">
      <c r="A29" s="506" t="s">
        <v>273</v>
      </c>
      <c r="B29" s="169" t="s">
        <v>532</v>
      </c>
      <c r="C29" s="102"/>
    </row>
    <row r="30" spans="1:3" s="514" customFormat="1" ht="12" customHeight="1" thickBot="1">
      <c r="A30" s="240" t="s">
        <v>23</v>
      </c>
      <c r="B30" s="151" t="s">
        <v>413</v>
      </c>
      <c r="C30" s="362">
        <f>+C31+C32+C33</f>
        <v>0</v>
      </c>
    </row>
    <row r="31" spans="1:3" s="514" customFormat="1" ht="12" customHeight="1">
      <c r="A31" s="507" t="s">
        <v>94</v>
      </c>
      <c r="B31" s="508" t="s">
        <v>294</v>
      </c>
      <c r="C31" s="95"/>
    </row>
    <row r="32" spans="1:3" s="514" customFormat="1" ht="12" customHeight="1">
      <c r="A32" s="507" t="s">
        <v>95</v>
      </c>
      <c r="B32" s="509" t="s">
        <v>295</v>
      </c>
      <c r="C32" s="363"/>
    </row>
    <row r="33" spans="1:3" s="514" customFormat="1" ht="12" customHeight="1" thickBot="1">
      <c r="A33" s="506" t="s">
        <v>96</v>
      </c>
      <c r="B33" s="169" t="s">
        <v>296</v>
      </c>
      <c r="C33" s="102"/>
    </row>
    <row r="34" spans="1:3" s="419" customFormat="1" ht="12" customHeight="1" thickBot="1">
      <c r="A34" s="240" t="s">
        <v>24</v>
      </c>
      <c r="B34" s="151" t="s">
        <v>382</v>
      </c>
      <c r="C34" s="389"/>
    </row>
    <row r="35" spans="1:3" s="419" customFormat="1" ht="12" customHeight="1" thickBot="1">
      <c r="A35" s="240" t="s">
        <v>25</v>
      </c>
      <c r="B35" s="151" t="s">
        <v>414</v>
      </c>
      <c r="C35" s="410"/>
    </row>
    <row r="36" spans="1:3" s="419" customFormat="1" ht="12" customHeight="1" thickBot="1">
      <c r="A36" s="232" t="s">
        <v>26</v>
      </c>
      <c r="B36" s="151" t="s">
        <v>533</v>
      </c>
      <c r="C36" s="411">
        <f>+C8+C20+C25+C26+C30+C34+C35</f>
        <v>0</v>
      </c>
    </row>
    <row r="37" spans="1:3" s="419" customFormat="1" ht="12" customHeight="1" thickBot="1">
      <c r="A37" s="277" t="s">
        <v>27</v>
      </c>
      <c r="B37" s="151" t="s">
        <v>416</v>
      </c>
      <c r="C37" s="411">
        <f>+C38+C39+C40</f>
        <v>0</v>
      </c>
    </row>
    <row r="38" spans="1:3" s="419" customFormat="1" ht="12" customHeight="1">
      <c r="A38" s="507" t="s">
        <v>417</v>
      </c>
      <c r="B38" s="508" t="s">
        <v>239</v>
      </c>
      <c r="C38" s="95"/>
    </row>
    <row r="39" spans="1:3" s="419" customFormat="1" ht="12" customHeight="1">
      <c r="A39" s="507" t="s">
        <v>418</v>
      </c>
      <c r="B39" s="509" t="s">
        <v>2</v>
      </c>
      <c r="C39" s="363"/>
    </row>
    <row r="40" spans="1:3" s="514" customFormat="1" ht="12" customHeight="1" thickBot="1">
      <c r="A40" s="506" t="s">
        <v>419</v>
      </c>
      <c r="B40" s="169" t="s">
        <v>420</v>
      </c>
      <c r="C40" s="102"/>
    </row>
    <row r="41" spans="1:3" s="514" customFormat="1" ht="15" customHeight="1" thickBot="1">
      <c r="A41" s="277" t="s">
        <v>28</v>
      </c>
      <c r="B41" s="278" t="s">
        <v>421</v>
      </c>
      <c r="C41" s="414">
        <f>+C36+C37</f>
        <v>0</v>
      </c>
    </row>
    <row r="42" spans="1:3" s="514" customFormat="1" ht="15" customHeight="1">
      <c r="A42" s="279"/>
      <c r="B42" s="280"/>
      <c r="C42" s="412"/>
    </row>
    <row r="43" spans="1:3" ht="13.5" thickBot="1">
      <c r="A43" s="281"/>
      <c r="B43" s="282"/>
      <c r="C43" s="413"/>
    </row>
    <row r="44" spans="1:3" s="513" customFormat="1" ht="16.5" customHeight="1" thickBot="1">
      <c r="A44" s="283"/>
      <c r="B44" s="284" t="s">
        <v>59</v>
      </c>
      <c r="C44" s="414"/>
    </row>
    <row r="45" spans="1:3" s="515" customFormat="1" ht="12" customHeight="1" thickBot="1">
      <c r="A45" s="240" t="s">
        <v>19</v>
      </c>
      <c r="B45" s="151" t="s">
        <v>422</v>
      </c>
      <c r="C45" s="362">
        <f>SUM(C46:C50)</f>
        <v>0</v>
      </c>
    </row>
    <row r="46" spans="1:3" ht="12" customHeight="1">
      <c r="A46" s="506" t="s">
        <v>101</v>
      </c>
      <c r="B46" s="9" t="s">
        <v>50</v>
      </c>
      <c r="C46" s="95"/>
    </row>
    <row r="47" spans="1:3" ht="12" customHeight="1">
      <c r="A47" s="506" t="s">
        <v>102</v>
      </c>
      <c r="B47" s="8" t="s">
        <v>184</v>
      </c>
      <c r="C47" s="98"/>
    </row>
    <row r="48" spans="1:3" ht="12" customHeight="1">
      <c r="A48" s="506" t="s">
        <v>103</v>
      </c>
      <c r="B48" s="8" t="s">
        <v>144</v>
      </c>
      <c r="C48" s="98"/>
    </row>
    <row r="49" spans="1:3" ht="12" customHeight="1">
      <c r="A49" s="506" t="s">
        <v>104</v>
      </c>
      <c r="B49" s="8" t="s">
        <v>185</v>
      </c>
      <c r="C49" s="98"/>
    </row>
    <row r="50" spans="1:3" ht="12" customHeight="1" thickBot="1">
      <c r="A50" s="506" t="s">
        <v>152</v>
      </c>
      <c r="B50" s="8" t="s">
        <v>186</v>
      </c>
      <c r="C50" s="98"/>
    </row>
    <row r="51" spans="1:3" ht="12" customHeight="1" thickBot="1">
      <c r="A51" s="240" t="s">
        <v>20</v>
      </c>
      <c r="B51" s="151" t="s">
        <v>423</v>
      </c>
      <c r="C51" s="362">
        <f>SUM(C52:C54)</f>
        <v>0</v>
      </c>
    </row>
    <row r="52" spans="1:3" s="515" customFormat="1" ht="12" customHeight="1">
      <c r="A52" s="506" t="s">
        <v>107</v>
      </c>
      <c r="B52" s="9" t="s">
        <v>229</v>
      </c>
      <c r="C52" s="95"/>
    </row>
    <row r="53" spans="1:3" ht="12" customHeight="1">
      <c r="A53" s="506" t="s">
        <v>108</v>
      </c>
      <c r="B53" s="8" t="s">
        <v>188</v>
      </c>
      <c r="C53" s="98"/>
    </row>
    <row r="54" spans="1:3" ht="12" customHeight="1">
      <c r="A54" s="506" t="s">
        <v>109</v>
      </c>
      <c r="B54" s="8" t="s">
        <v>60</v>
      </c>
      <c r="C54" s="98"/>
    </row>
    <row r="55" spans="1:3" ht="12" customHeight="1" thickBot="1">
      <c r="A55" s="506" t="s">
        <v>110</v>
      </c>
      <c r="B55" s="8" t="s">
        <v>530</v>
      </c>
      <c r="C55" s="98"/>
    </row>
    <row r="56" spans="1:3" ht="15" customHeight="1" thickBot="1">
      <c r="A56" s="240" t="s">
        <v>21</v>
      </c>
      <c r="B56" s="151" t="s">
        <v>13</v>
      </c>
      <c r="C56" s="389"/>
    </row>
    <row r="57" spans="1:3" ht="13.5" thickBot="1">
      <c r="A57" s="240" t="s">
        <v>22</v>
      </c>
      <c r="B57" s="285" t="s">
        <v>537</v>
      </c>
      <c r="C57" s="415">
        <f>+C45+C51+C56</f>
        <v>0</v>
      </c>
    </row>
    <row r="58" ht="15" customHeight="1" thickBot="1">
      <c r="C58" s="416"/>
    </row>
    <row r="59" spans="1:3" ht="14.25" customHeight="1" thickBot="1">
      <c r="A59" s="288" t="s">
        <v>525</v>
      </c>
      <c r="B59" s="289"/>
      <c r="C59" s="148"/>
    </row>
    <row r="60" spans="1:3" ht="13.5" thickBot="1">
      <c r="A60" s="288" t="s">
        <v>207</v>
      </c>
      <c r="B60" s="289"/>
      <c r="C60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28" sqref="C28"/>
    </sheetView>
  </sheetViews>
  <sheetFormatPr defaultColWidth="9.00390625" defaultRowHeight="12.75"/>
  <cols>
    <col min="1" max="1" width="13.875" style="286" customWidth="1"/>
    <col min="2" max="2" width="79.125" style="287" customWidth="1"/>
    <col min="3" max="3" width="25.00390625" style="287" customWidth="1"/>
    <col min="4" max="16384" width="9.375" style="287" customWidth="1"/>
  </cols>
  <sheetData>
    <row r="1" spans="1:3" s="266" customFormat="1" ht="21" customHeight="1" thickBot="1">
      <c r="A1" s="265"/>
      <c r="B1" s="267"/>
      <c r="C1" s="510" t="str">
        <f>+CONCATENATE("9.5.3. melléklet a ……/",LEFT(ÖSSZEFÜGGÉSEK!A5,4),". (….) önkormányzati rendelethez")</f>
        <v>9.5.3. melléklet a ……/2016. (….) önkormányzati rendelethez</v>
      </c>
    </row>
    <row r="2" spans="1:3" s="511" customFormat="1" ht="25.5" customHeight="1">
      <c r="A2" s="461" t="s">
        <v>205</v>
      </c>
      <c r="B2" s="403" t="s">
        <v>578</v>
      </c>
      <c r="C2" s="417" t="s">
        <v>582</v>
      </c>
    </row>
    <row r="3" spans="1:3" s="511" customFormat="1" ht="24.75" thickBot="1">
      <c r="A3" s="504" t="s">
        <v>204</v>
      </c>
      <c r="B3" s="404" t="s">
        <v>538</v>
      </c>
      <c r="C3" s="418" t="s">
        <v>62</v>
      </c>
    </row>
    <row r="4" spans="1:3" s="512" customFormat="1" ht="15.75" customHeight="1" thickBot="1">
      <c r="A4" s="269"/>
      <c r="B4" s="269"/>
      <c r="C4" s="270" t="s">
        <v>56</v>
      </c>
    </row>
    <row r="5" spans="1:3" ht="13.5" thickBot="1">
      <c r="A5" s="462" t="s">
        <v>206</v>
      </c>
      <c r="B5" s="271" t="s">
        <v>572</v>
      </c>
      <c r="C5" s="272" t="s">
        <v>57</v>
      </c>
    </row>
    <row r="6" spans="1:3" s="513" customFormat="1" ht="12.75" customHeight="1" thickBot="1">
      <c r="A6" s="232"/>
      <c r="B6" s="233" t="s">
        <v>499</v>
      </c>
      <c r="C6" s="234" t="s">
        <v>500</v>
      </c>
    </row>
    <row r="7" spans="1:3" s="513" customFormat="1" ht="15.75" customHeight="1" thickBot="1">
      <c r="A7" s="273"/>
      <c r="B7" s="274" t="s">
        <v>58</v>
      </c>
      <c r="C7" s="275"/>
    </row>
    <row r="8" spans="1:3" s="419" customFormat="1" ht="12" customHeight="1" thickBot="1">
      <c r="A8" s="232" t="s">
        <v>19</v>
      </c>
      <c r="B8" s="276" t="s">
        <v>526</v>
      </c>
      <c r="C8" s="362">
        <f>SUM(C9:C19)</f>
        <v>0</v>
      </c>
    </row>
    <row r="9" spans="1:3" s="419" customFormat="1" ht="12" customHeight="1">
      <c r="A9" s="505" t="s">
        <v>101</v>
      </c>
      <c r="B9" s="10" t="s">
        <v>280</v>
      </c>
      <c r="C9" s="408"/>
    </row>
    <row r="10" spans="1:3" s="419" customFormat="1" ht="12" customHeight="1">
      <c r="A10" s="506" t="s">
        <v>102</v>
      </c>
      <c r="B10" s="8" t="s">
        <v>281</v>
      </c>
      <c r="C10" s="360"/>
    </row>
    <row r="11" spans="1:3" s="419" customFormat="1" ht="12" customHeight="1">
      <c r="A11" s="506" t="s">
        <v>103</v>
      </c>
      <c r="B11" s="8" t="s">
        <v>282</v>
      </c>
      <c r="C11" s="360"/>
    </row>
    <row r="12" spans="1:3" s="419" customFormat="1" ht="12" customHeight="1">
      <c r="A12" s="506" t="s">
        <v>104</v>
      </c>
      <c r="B12" s="8" t="s">
        <v>283</v>
      </c>
      <c r="C12" s="360"/>
    </row>
    <row r="13" spans="1:3" s="419" customFormat="1" ht="12" customHeight="1">
      <c r="A13" s="506" t="s">
        <v>152</v>
      </c>
      <c r="B13" s="8" t="s">
        <v>284</v>
      </c>
      <c r="C13" s="360"/>
    </row>
    <row r="14" spans="1:3" s="419" customFormat="1" ht="12" customHeight="1">
      <c r="A14" s="506" t="s">
        <v>105</v>
      </c>
      <c r="B14" s="8" t="s">
        <v>406</v>
      </c>
      <c r="C14" s="360"/>
    </row>
    <row r="15" spans="1:3" s="419" customFormat="1" ht="12" customHeight="1">
      <c r="A15" s="506" t="s">
        <v>106</v>
      </c>
      <c r="B15" s="7" t="s">
        <v>407</v>
      </c>
      <c r="C15" s="360"/>
    </row>
    <row r="16" spans="1:3" s="419" customFormat="1" ht="12" customHeight="1">
      <c r="A16" s="506" t="s">
        <v>116</v>
      </c>
      <c r="B16" s="8" t="s">
        <v>287</v>
      </c>
      <c r="C16" s="409"/>
    </row>
    <row r="17" spans="1:3" s="514" customFormat="1" ht="12" customHeight="1">
      <c r="A17" s="506" t="s">
        <v>117</v>
      </c>
      <c r="B17" s="8" t="s">
        <v>288</v>
      </c>
      <c r="C17" s="360"/>
    </row>
    <row r="18" spans="1:3" s="514" customFormat="1" ht="12" customHeight="1">
      <c r="A18" s="506" t="s">
        <v>118</v>
      </c>
      <c r="B18" s="8" t="s">
        <v>443</v>
      </c>
      <c r="C18" s="361"/>
    </row>
    <row r="19" spans="1:3" s="514" customFormat="1" ht="12" customHeight="1" thickBot="1">
      <c r="A19" s="506" t="s">
        <v>119</v>
      </c>
      <c r="B19" s="7" t="s">
        <v>289</v>
      </c>
      <c r="C19" s="361"/>
    </row>
    <row r="20" spans="1:3" s="419" customFormat="1" ht="12" customHeight="1" thickBot="1">
      <c r="A20" s="232" t="s">
        <v>20</v>
      </c>
      <c r="B20" s="276" t="s">
        <v>408</v>
      </c>
      <c r="C20" s="362">
        <f>SUM(C21:C23)</f>
        <v>0</v>
      </c>
    </row>
    <row r="21" spans="1:3" s="514" customFormat="1" ht="12" customHeight="1">
      <c r="A21" s="506" t="s">
        <v>107</v>
      </c>
      <c r="B21" s="9" t="s">
        <v>261</v>
      </c>
      <c r="C21" s="360"/>
    </row>
    <row r="22" spans="1:3" s="514" customFormat="1" ht="12" customHeight="1">
      <c r="A22" s="506" t="s">
        <v>108</v>
      </c>
      <c r="B22" s="8" t="s">
        <v>409</v>
      </c>
      <c r="C22" s="360"/>
    </row>
    <row r="23" spans="1:3" s="514" customFormat="1" ht="12" customHeight="1">
      <c r="A23" s="506" t="s">
        <v>109</v>
      </c>
      <c r="B23" s="8" t="s">
        <v>410</v>
      </c>
      <c r="C23" s="360"/>
    </row>
    <row r="24" spans="1:3" s="514" customFormat="1" ht="12" customHeight="1" thickBot="1">
      <c r="A24" s="506" t="s">
        <v>110</v>
      </c>
      <c r="B24" s="8" t="s">
        <v>531</v>
      </c>
      <c r="C24" s="360"/>
    </row>
    <row r="25" spans="1:3" s="514" customFormat="1" ht="12" customHeight="1" thickBot="1">
      <c r="A25" s="240" t="s">
        <v>21</v>
      </c>
      <c r="B25" s="151" t="s">
        <v>175</v>
      </c>
      <c r="C25" s="389"/>
    </row>
    <row r="26" spans="1:3" s="514" customFormat="1" ht="12" customHeight="1" thickBot="1">
      <c r="A26" s="240" t="s">
        <v>22</v>
      </c>
      <c r="B26" s="151" t="s">
        <v>411</v>
      </c>
      <c r="C26" s="362">
        <f>+C27+C28</f>
        <v>0</v>
      </c>
    </row>
    <row r="27" spans="1:3" s="514" customFormat="1" ht="12" customHeight="1">
      <c r="A27" s="507" t="s">
        <v>271</v>
      </c>
      <c r="B27" s="508" t="s">
        <v>409</v>
      </c>
      <c r="C27" s="95"/>
    </row>
    <row r="28" spans="1:3" s="514" customFormat="1" ht="12" customHeight="1">
      <c r="A28" s="507" t="s">
        <v>272</v>
      </c>
      <c r="B28" s="509" t="s">
        <v>412</v>
      </c>
      <c r="C28" s="363"/>
    </row>
    <row r="29" spans="1:3" s="514" customFormat="1" ht="12" customHeight="1" thickBot="1">
      <c r="A29" s="506" t="s">
        <v>273</v>
      </c>
      <c r="B29" s="169" t="s">
        <v>532</v>
      </c>
      <c r="C29" s="102"/>
    </row>
    <row r="30" spans="1:3" s="514" customFormat="1" ht="12" customHeight="1" thickBot="1">
      <c r="A30" s="240" t="s">
        <v>23</v>
      </c>
      <c r="B30" s="151" t="s">
        <v>413</v>
      </c>
      <c r="C30" s="362">
        <f>+C31+C32+C33</f>
        <v>0</v>
      </c>
    </row>
    <row r="31" spans="1:3" s="514" customFormat="1" ht="12" customHeight="1">
      <c r="A31" s="507" t="s">
        <v>94</v>
      </c>
      <c r="B31" s="508" t="s">
        <v>294</v>
      </c>
      <c r="C31" s="95"/>
    </row>
    <row r="32" spans="1:3" s="514" customFormat="1" ht="12" customHeight="1">
      <c r="A32" s="507" t="s">
        <v>95</v>
      </c>
      <c r="B32" s="509" t="s">
        <v>295</v>
      </c>
      <c r="C32" s="363"/>
    </row>
    <row r="33" spans="1:3" s="514" customFormat="1" ht="12" customHeight="1" thickBot="1">
      <c r="A33" s="506" t="s">
        <v>96</v>
      </c>
      <c r="B33" s="169" t="s">
        <v>296</v>
      </c>
      <c r="C33" s="102"/>
    </row>
    <row r="34" spans="1:3" s="419" customFormat="1" ht="12" customHeight="1" thickBot="1">
      <c r="A34" s="240" t="s">
        <v>24</v>
      </c>
      <c r="B34" s="151" t="s">
        <v>382</v>
      </c>
      <c r="C34" s="389"/>
    </row>
    <row r="35" spans="1:3" s="419" customFormat="1" ht="12" customHeight="1" thickBot="1">
      <c r="A35" s="240" t="s">
        <v>25</v>
      </c>
      <c r="B35" s="151" t="s">
        <v>414</v>
      </c>
      <c r="C35" s="410"/>
    </row>
    <row r="36" spans="1:3" s="419" customFormat="1" ht="12" customHeight="1" thickBot="1">
      <c r="A36" s="232" t="s">
        <v>26</v>
      </c>
      <c r="B36" s="151" t="s">
        <v>533</v>
      </c>
      <c r="C36" s="411">
        <f>+C8+C20+C25+C26+C30+C34+C35</f>
        <v>0</v>
      </c>
    </row>
    <row r="37" spans="1:3" s="419" customFormat="1" ht="12" customHeight="1" thickBot="1">
      <c r="A37" s="277" t="s">
        <v>27</v>
      </c>
      <c r="B37" s="151" t="s">
        <v>416</v>
      </c>
      <c r="C37" s="411">
        <f>+C38+C39+C40</f>
        <v>0</v>
      </c>
    </row>
    <row r="38" spans="1:3" s="419" customFormat="1" ht="12" customHeight="1">
      <c r="A38" s="507" t="s">
        <v>417</v>
      </c>
      <c r="B38" s="508" t="s">
        <v>239</v>
      </c>
      <c r="C38" s="95"/>
    </row>
    <row r="39" spans="1:3" s="419" customFormat="1" ht="12" customHeight="1">
      <c r="A39" s="507" t="s">
        <v>418</v>
      </c>
      <c r="B39" s="509" t="s">
        <v>2</v>
      </c>
      <c r="C39" s="363"/>
    </row>
    <row r="40" spans="1:3" s="514" customFormat="1" ht="12" customHeight="1" thickBot="1">
      <c r="A40" s="506" t="s">
        <v>419</v>
      </c>
      <c r="B40" s="169" t="s">
        <v>420</v>
      </c>
      <c r="C40" s="102"/>
    </row>
    <row r="41" spans="1:3" s="514" customFormat="1" ht="15" customHeight="1" thickBot="1">
      <c r="A41" s="277" t="s">
        <v>28</v>
      </c>
      <c r="B41" s="278" t="s">
        <v>421</v>
      </c>
      <c r="C41" s="414">
        <f>+C36+C37</f>
        <v>0</v>
      </c>
    </row>
    <row r="42" spans="1:3" s="514" customFormat="1" ht="15" customHeight="1">
      <c r="A42" s="279"/>
      <c r="B42" s="280"/>
      <c r="C42" s="412"/>
    </row>
    <row r="43" spans="1:3" ht="13.5" thickBot="1">
      <c r="A43" s="281"/>
      <c r="B43" s="282"/>
      <c r="C43" s="413"/>
    </row>
    <row r="44" spans="1:3" s="513" customFormat="1" ht="16.5" customHeight="1" thickBot="1">
      <c r="A44" s="283"/>
      <c r="B44" s="284" t="s">
        <v>59</v>
      </c>
      <c r="C44" s="414"/>
    </row>
    <row r="45" spans="1:3" s="515" customFormat="1" ht="12" customHeight="1" thickBot="1">
      <c r="A45" s="240" t="s">
        <v>19</v>
      </c>
      <c r="B45" s="151" t="s">
        <v>422</v>
      </c>
      <c r="C45" s="362">
        <f>SUM(C46:C50)</f>
        <v>0</v>
      </c>
    </row>
    <row r="46" spans="1:3" ht="12" customHeight="1">
      <c r="A46" s="506" t="s">
        <v>101</v>
      </c>
      <c r="B46" s="9" t="s">
        <v>50</v>
      </c>
      <c r="C46" s="95"/>
    </row>
    <row r="47" spans="1:3" ht="12" customHeight="1">
      <c r="A47" s="506" t="s">
        <v>102</v>
      </c>
      <c r="B47" s="8" t="s">
        <v>184</v>
      </c>
      <c r="C47" s="98"/>
    </row>
    <row r="48" spans="1:3" ht="12" customHeight="1">
      <c r="A48" s="506" t="s">
        <v>103</v>
      </c>
      <c r="B48" s="8" t="s">
        <v>144</v>
      </c>
      <c r="C48" s="98"/>
    </row>
    <row r="49" spans="1:3" ht="12" customHeight="1">
      <c r="A49" s="506" t="s">
        <v>104</v>
      </c>
      <c r="B49" s="8" t="s">
        <v>185</v>
      </c>
      <c r="C49" s="98"/>
    </row>
    <row r="50" spans="1:3" ht="12" customHeight="1" thickBot="1">
      <c r="A50" s="506" t="s">
        <v>152</v>
      </c>
      <c r="B50" s="8" t="s">
        <v>186</v>
      </c>
      <c r="C50" s="98"/>
    </row>
    <row r="51" spans="1:3" ht="12" customHeight="1" thickBot="1">
      <c r="A51" s="240" t="s">
        <v>20</v>
      </c>
      <c r="B51" s="151" t="s">
        <v>423</v>
      </c>
      <c r="C51" s="362">
        <f>SUM(C52:C54)</f>
        <v>0</v>
      </c>
    </row>
    <row r="52" spans="1:3" s="515" customFormat="1" ht="12" customHeight="1">
      <c r="A52" s="506" t="s">
        <v>107</v>
      </c>
      <c r="B52" s="9" t="s">
        <v>229</v>
      </c>
      <c r="C52" s="95"/>
    </row>
    <row r="53" spans="1:3" ht="12" customHeight="1">
      <c r="A53" s="506" t="s">
        <v>108</v>
      </c>
      <c r="B53" s="8" t="s">
        <v>188</v>
      </c>
      <c r="C53" s="98"/>
    </row>
    <row r="54" spans="1:3" ht="12" customHeight="1">
      <c r="A54" s="506" t="s">
        <v>109</v>
      </c>
      <c r="B54" s="8" t="s">
        <v>60</v>
      </c>
      <c r="C54" s="98"/>
    </row>
    <row r="55" spans="1:3" ht="12" customHeight="1" thickBot="1">
      <c r="A55" s="506" t="s">
        <v>110</v>
      </c>
      <c r="B55" s="8" t="s">
        <v>530</v>
      </c>
      <c r="C55" s="98"/>
    </row>
    <row r="56" spans="1:3" ht="15" customHeight="1" thickBot="1">
      <c r="A56" s="240" t="s">
        <v>21</v>
      </c>
      <c r="B56" s="151" t="s">
        <v>13</v>
      </c>
      <c r="C56" s="389"/>
    </row>
    <row r="57" spans="1:3" ht="13.5" thickBot="1">
      <c r="A57" s="240" t="s">
        <v>22</v>
      </c>
      <c r="B57" s="285" t="s">
        <v>537</v>
      </c>
      <c r="C57" s="415">
        <f>+C45+C51+C56</f>
        <v>0</v>
      </c>
    </row>
    <row r="58" ht="15" customHeight="1" thickBot="1">
      <c r="C58" s="416"/>
    </row>
    <row r="59" spans="1:3" ht="14.25" customHeight="1" thickBot="1">
      <c r="A59" s="288" t="s">
        <v>525</v>
      </c>
      <c r="B59" s="289"/>
      <c r="C59" s="148"/>
    </row>
    <row r="60" spans="1:3" ht="13.5" thickBot="1">
      <c r="A60" s="288" t="s">
        <v>207</v>
      </c>
      <c r="B60" s="289"/>
      <c r="C60" s="14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BreakPreview" zoomScale="60" workbookViewId="0" topLeftCell="A1">
      <selection activeCell="A21" sqref="A21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67" t="s">
        <v>3</v>
      </c>
      <c r="B1" s="667"/>
      <c r="C1" s="667"/>
      <c r="D1" s="667"/>
      <c r="E1" s="667"/>
      <c r="F1" s="667"/>
      <c r="G1" s="667"/>
    </row>
    <row r="3" spans="1:7" s="193" customFormat="1" ht="27" customHeight="1">
      <c r="A3" s="191" t="s">
        <v>211</v>
      </c>
      <c r="B3" s="192"/>
      <c r="C3" s="666" t="s">
        <v>575</v>
      </c>
      <c r="D3" s="666"/>
      <c r="E3" s="666"/>
      <c r="F3" s="666"/>
      <c r="G3" s="666"/>
    </row>
    <row r="4" spans="1:7" s="193" customFormat="1" ht="15.75">
      <c r="A4" s="192"/>
      <c r="B4" s="192"/>
      <c r="C4" s="192"/>
      <c r="D4" s="192"/>
      <c r="E4" s="192"/>
      <c r="F4" s="192"/>
      <c r="G4" s="192"/>
    </row>
    <row r="5" spans="1:7" s="193" customFormat="1" ht="24.75" customHeight="1">
      <c r="A5" s="191" t="s">
        <v>212</v>
      </c>
      <c r="B5" s="192"/>
      <c r="C5" s="666" t="s">
        <v>630</v>
      </c>
      <c r="D5" s="666"/>
      <c r="E5" s="666"/>
      <c r="F5" s="666"/>
      <c r="G5" s="192"/>
    </row>
    <row r="6" spans="1:7" s="194" customFormat="1" ht="12.75">
      <c r="A6" s="250"/>
      <c r="B6" s="250"/>
      <c r="C6" s="250"/>
      <c r="D6" s="250"/>
      <c r="E6" s="250"/>
      <c r="F6" s="250"/>
      <c r="G6" s="250"/>
    </row>
    <row r="7" spans="1:7" s="195" customFormat="1" ht="15" customHeight="1">
      <c r="A7" s="307" t="s">
        <v>634</v>
      </c>
      <c r="B7" s="306"/>
      <c r="C7" s="306"/>
      <c r="D7" s="292"/>
      <c r="E7" s="292"/>
      <c r="F7" s="292"/>
      <c r="G7" s="292"/>
    </row>
    <row r="8" spans="1:7" s="195" customFormat="1" ht="15" customHeight="1" thickBot="1">
      <c r="A8" s="307" t="s">
        <v>631</v>
      </c>
      <c r="B8" s="292"/>
      <c r="C8" s="292"/>
      <c r="D8" s="292"/>
      <c r="E8" s="292"/>
      <c r="F8" s="292"/>
      <c r="G8" s="292"/>
    </row>
    <row r="9" spans="1:7" s="94" customFormat="1" ht="42" customHeight="1" thickBot="1">
      <c r="A9" s="229" t="s">
        <v>17</v>
      </c>
      <c r="B9" s="230" t="s">
        <v>213</v>
      </c>
      <c r="C9" s="230" t="s">
        <v>214</v>
      </c>
      <c r="D9" s="230" t="s">
        <v>215</v>
      </c>
      <c r="E9" s="230" t="s">
        <v>216</v>
      </c>
      <c r="F9" s="230" t="s">
        <v>217</v>
      </c>
      <c r="G9" s="231" t="s">
        <v>54</v>
      </c>
    </row>
    <row r="10" spans="1:7" ht="24" customHeight="1">
      <c r="A10" s="293" t="s">
        <v>19</v>
      </c>
      <c r="B10" s="238" t="s">
        <v>218</v>
      </c>
      <c r="C10" s="196"/>
      <c r="D10" s="196"/>
      <c r="E10" s="196"/>
      <c r="F10" s="196"/>
      <c r="G10" s="294">
        <f>SUM(C10:F10)</f>
        <v>0</v>
      </c>
    </row>
    <row r="11" spans="1:7" ht="24" customHeight="1">
      <c r="A11" s="295" t="s">
        <v>20</v>
      </c>
      <c r="B11" s="239" t="s">
        <v>219</v>
      </c>
      <c r="C11" s="197"/>
      <c r="D11" s="197"/>
      <c r="E11" s="197"/>
      <c r="F11" s="197"/>
      <c r="G11" s="296">
        <f aca="true" t="shared" si="0" ref="G11:G16">SUM(C11:F11)</f>
        <v>0</v>
      </c>
    </row>
    <row r="12" spans="1:7" ht="24" customHeight="1">
      <c r="A12" s="295" t="s">
        <v>21</v>
      </c>
      <c r="B12" s="239" t="s">
        <v>220</v>
      </c>
      <c r="C12" s="197"/>
      <c r="D12" s="197"/>
      <c r="E12" s="197"/>
      <c r="F12" s="197"/>
      <c r="G12" s="296">
        <f t="shared" si="0"/>
        <v>0</v>
      </c>
    </row>
    <row r="13" spans="1:7" ht="24" customHeight="1">
      <c r="A13" s="295" t="s">
        <v>22</v>
      </c>
      <c r="B13" s="239" t="s">
        <v>221</v>
      </c>
      <c r="C13" s="197"/>
      <c r="D13" s="197"/>
      <c r="E13" s="197"/>
      <c r="F13" s="197"/>
      <c r="G13" s="296">
        <f t="shared" si="0"/>
        <v>0</v>
      </c>
    </row>
    <row r="14" spans="1:7" ht="24" customHeight="1">
      <c r="A14" s="295" t="s">
        <v>23</v>
      </c>
      <c r="B14" s="239" t="s">
        <v>222</v>
      </c>
      <c r="C14" s="197"/>
      <c r="D14" s="197"/>
      <c r="E14" s="197"/>
      <c r="F14" s="197"/>
      <c r="G14" s="296">
        <f t="shared" si="0"/>
        <v>0</v>
      </c>
    </row>
    <row r="15" spans="1:7" ht="24" customHeight="1" thickBot="1">
      <c r="A15" s="297" t="s">
        <v>24</v>
      </c>
      <c r="B15" s="298" t="s">
        <v>223</v>
      </c>
      <c r="C15" s="198"/>
      <c r="D15" s="198"/>
      <c r="E15" s="198"/>
      <c r="F15" s="198"/>
      <c r="G15" s="299">
        <f t="shared" si="0"/>
        <v>0</v>
      </c>
    </row>
    <row r="16" spans="1:7" s="199" customFormat="1" ht="24" customHeight="1" thickBot="1">
      <c r="A16" s="300" t="s">
        <v>25</v>
      </c>
      <c r="B16" s="301" t="s">
        <v>54</v>
      </c>
      <c r="C16" s="302">
        <f>SUM(C10:C15)</f>
        <v>0</v>
      </c>
      <c r="D16" s="302">
        <f>SUM(D10:D15)</f>
        <v>0</v>
      </c>
      <c r="E16" s="302">
        <f>SUM(E10:E15)</f>
        <v>0</v>
      </c>
      <c r="F16" s="302">
        <f>SUM(F10:F15)</f>
        <v>0</v>
      </c>
      <c r="G16" s="303">
        <f t="shared" si="0"/>
        <v>0</v>
      </c>
    </row>
    <row r="17" spans="1:7" s="194" customFormat="1" ht="12.75">
      <c r="A17" s="250"/>
      <c r="B17" s="250"/>
      <c r="C17" s="250"/>
      <c r="D17" s="250"/>
      <c r="E17" s="250"/>
      <c r="F17" s="250"/>
      <c r="G17" s="250"/>
    </row>
    <row r="18" spans="1:7" s="194" customFormat="1" ht="12.75">
      <c r="A18" s="250"/>
      <c r="B18" s="250"/>
      <c r="C18" s="250"/>
      <c r="D18" s="250"/>
      <c r="E18" s="250"/>
      <c r="F18" s="250"/>
      <c r="G18" s="250"/>
    </row>
    <row r="19" spans="1:7" s="194" customFormat="1" ht="12.75">
      <c r="A19" s="250"/>
      <c r="B19" s="250"/>
      <c r="C19" s="250"/>
      <c r="D19" s="250"/>
      <c r="E19" s="250"/>
      <c r="F19" s="250"/>
      <c r="G19" s="250"/>
    </row>
    <row r="20" spans="1:7" s="194" customFormat="1" ht="15.75">
      <c r="A20" s="193" t="str">
        <f>+CONCATENATE("Ibrány, ",LEFT(ÖSSZEFÜGGÉSEK!A5,4),". Január hó 15. nap")</f>
        <v>Ibrány, 2016. Január hó 15. nap</v>
      </c>
      <c r="B20" s="250"/>
      <c r="C20" s="250"/>
      <c r="D20" s="250"/>
      <c r="E20" s="250"/>
      <c r="F20" s="250"/>
      <c r="G20" s="250"/>
    </row>
    <row r="21" spans="1:7" s="194" customFormat="1" ht="12.75">
      <c r="A21" s="250"/>
      <c r="B21" s="250"/>
      <c r="C21" s="250"/>
      <c r="D21" s="250"/>
      <c r="E21" s="250"/>
      <c r="F21" s="250"/>
      <c r="G21" s="250"/>
    </row>
    <row r="22" spans="1:7" ht="12.75">
      <c r="A22" s="250"/>
      <c r="B22" s="250"/>
      <c r="C22" s="250"/>
      <c r="D22" s="250"/>
      <c r="E22" s="250"/>
      <c r="F22" s="250"/>
      <c r="G22" s="250"/>
    </row>
    <row r="23" spans="1:7" ht="12.75">
      <c r="A23" s="250"/>
      <c r="B23" s="250"/>
      <c r="C23" s="194"/>
      <c r="D23" s="194"/>
      <c r="E23" s="194"/>
      <c r="F23" s="194"/>
      <c r="G23" s="250"/>
    </row>
    <row r="24" spans="1:7" ht="13.5">
      <c r="A24" s="250"/>
      <c r="B24" s="250"/>
      <c r="C24" s="304"/>
      <c r="D24" s="305" t="s">
        <v>224</v>
      </c>
      <c r="E24" s="305"/>
      <c r="F24" s="304"/>
      <c r="G24" s="250"/>
    </row>
    <row r="25" spans="3:6" ht="13.5">
      <c r="C25" s="200"/>
      <c r="D25" s="201"/>
      <c r="E25" s="201"/>
      <c r="F25" s="200"/>
    </row>
    <row r="26" spans="3:6" ht="13.5">
      <c r="C26" s="200"/>
      <c r="D26" s="201"/>
      <c r="E26" s="201"/>
      <c r="F26" s="200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&amp;R&amp;"Times New Roman CE,Félkövér dőlt"&amp;11 10. melléklet a ……/2016. (….)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view="pageBreakPreview" zoomScaleNormal="120" zoomScaleSheetLayoutView="100" workbookViewId="0" topLeftCell="A142">
      <selection activeCell="C77" sqref="C77"/>
    </sheetView>
  </sheetViews>
  <sheetFormatPr defaultColWidth="9.00390625" defaultRowHeight="12.75"/>
  <cols>
    <col min="1" max="1" width="9.00390625" style="436" customWidth="1"/>
    <col min="2" max="2" width="75.875" style="436" customWidth="1"/>
    <col min="3" max="3" width="15.50390625" style="437" customWidth="1"/>
    <col min="4" max="5" width="15.50390625" style="436" customWidth="1"/>
    <col min="6" max="6" width="9.00390625" style="44" customWidth="1"/>
    <col min="7" max="16384" width="9.375" style="44" customWidth="1"/>
  </cols>
  <sheetData>
    <row r="1" spans="1:5" ht="15.75" customHeight="1">
      <c r="A1" s="620" t="s">
        <v>16</v>
      </c>
      <c r="B1" s="620"/>
      <c r="C1" s="620"/>
      <c r="D1" s="620"/>
      <c r="E1" s="620"/>
    </row>
    <row r="2" spans="1:5" ht="15.75" customHeight="1" thickBot="1">
      <c r="A2" s="621" t="s">
        <v>156</v>
      </c>
      <c r="B2" s="621"/>
      <c r="D2" s="168"/>
      <c r="E2" s="352" t="s">
        <v>230</v>
      </c>
    </row>
    <row r="3" spans="1:5" ht="37.5" customHeight="1" thickBot="1">
      <c r="A3" s="23" t="s">
        <v>72</v>
      </c>
      <c r="B3" s="24" t="s">
        <v>18</v>
      </c>
      <c r="C3" s="24" t="str">
        <f>+CONCATENATE(LEFT(ÖSSZEFÜGGÉSEK!A5,4)-2,". évi tény")</f>
        <v>2014. évi tény</v>
      </c>
      <c r="D3" s="459" t="str">
        <f>+CONCATENATE(LEFT(ÖSSZEFÜGGÉSEK!A5,4)-1,". évi várható")</f>
        <v>2015. évi várható</v>
      </c>
      <c r="E3" s="190" t="str">
        <f>+'1.1.sz.mell.'!C3</f>
        <v>2016. évi előirányzat</v>
      </c>
    </row>
    <row r="4" spans="1:5" s="46" customFormat="1" ht="12" customHeight="1" thickBot="1">
      <c r="A4" s="37" t="s">
        <v>499</v>
      </c>
      <c r="B4" s="38" t="s">
        <v>500</v>
      </c>
      <c r="C4" s="38" t="s">
        <v>501</v>
      </c>
      <c r="D4" s="38" t="s">
        <v>503</v>
      </c>
      <c r="E4" s="503" t="s">
        <v>502</v>
      </c>
    </row>
    <row r="5" spans="1:5" s="1" customFormat="1" ht="12" customHeight="1" thickBot="1">
      <c r="A5" s="20" t="s">
        <v>19</v>
      </c>
      <c r="B5" s="21" t="s">
        <v>255</v>
      </c>
      <c r="C5" s="451">
        <v>561651</v>
      </c>
      <c r="D5" s="451">
        <v>581927</v>
      </c>
      <c r="E5" s="308">
        <v>840690</v>
      </c>
    </row>
    <row r="6" spans="1:5" s="1" customFormat="1" ht="12" customHeight="1">
      <c r="A6" s="15" t="s">
        <v>101</v>
      </c>
      <c r="B6" s="471" t="s">
        <v>256</v>
      </c>
      <c r="C6" s="453"/>
      <c r="D6" s="453"/>
      <c r="E6" s="310"/>
    </row>
    <row r="7" spans="1:5" s="1" customFormat="1" ht="12" customHeight="1">
      <c r="A7" s="14" t="s">
        <v>102</v>
      </c>
      <c r="B7" s="472" t="s">
        <v>257</v>
      </c>
      <c r="C7" s="452"/>
      <c r="D7" s="452"/>
      <c r="E7" s="309"/>
    </row>
    <row r="8" spans="1:5" s="1" customFormat="1" ht="12" customHeight="1">
      <c r="A8" s="14" t="s">
        <v>103</v>
      </c>
      <c r="B8" s="472" t="s">
        <v>258</v>
      </c>
      <c r="C8" s="452"/>
      <c r="D8" s="452"/>
      <c r="E8" s="309"/>
    </row>
    <row r="9" spans="1:5" s="1" customFormat="1" ht="12" customHeight="1">
      <c r="A9" s="14" t="s">
        <v>104</v>
      </c>
      <c r="B9" s="472" t="s">
        <v>259</v>
      </c>
      <c r="C9" s="452"/>
      <c r="D9" s="452"/>
      <c r="E9" s="309"/>
    </row>
    <row r="10" spans="1:5" s="1" customFormat="1" ht="12" customHeight="1">
      <c r="A10" s="14" t="s">
        <v>152</v>
      </c>
      <c r="B10" s="338" t="s">
        <v>439</v>
      </c>
      <c r="C10" s="452"/>
      <c r="D10" s="452"/>
      <c r="E10" s="309"/>
    </row>
    <row r="11" spans="1:5" s="1" customFormat="1" ht="12" customHeight="1" thickBot="1">
      <c r="A11" s="16" t="s">
        <v>105</v>
      </c>
      <c r="B11" s="339" t="s">
        <v>440</v>
      </c>
      <c r="C11" s="452"/>
      <c r="D11" s="452"/>
      <c r="E11" s="309"/>
    </row>
    <row r="12" spans="1:5" s="1" customFormat="1" ht="12" customHeight="1" thickBot="1">
      <c r="A12" s="20" t="s">
        <v>20</v>
      </c>
      <c r="B12" s="337" t="s">
        <v>260</v>
      </c>
      <c r="C12" s="451">
        <v>238116</v>
      </c>
      <c r="D12" s="451">
        <v>488527</v>
      </c>
      <c r="E12" s="308">
        <f>+E13+E14+E15+E16+E17</f>
        <v>0</v>
      </c>
    </row>
    <row r="13" spans="1:5" s="1" customFormat="1" ht="12" customHeight="1">
      <c r="A13" s="15" t="s">
        <v>107</v>
      </c>
      <c r="B13" s="471" t="s">
        <v>261</v>
      </c>
      <c r="C13" s="453"/>
      <c r="D13" s="453"/>
      <c r="E13" s="310"/>
    </row>
    <row r="14" spans="1:5" s="1" customFormat="1" ht="12" customHeight="1">
      <c r="A14" s="14" t="s">
        <v>108</v>
      </c>
      <c r="B14" s="472" t="s">
        <v>262</v>
      </c>
      <c r="C14" s="452"/>
      <c r="D14" s="452"/>
      <c r="E14" s="309"/>
    </row>
    <row r="15" spans="1:5" s="1" customFormat="1" ht="12" customHeight="1">
      <c r="A15" s="14" t="s">
        <v>109</v>
      </c>
      <c r="B15" s="472" t="s">
        <v>429</v>
      </c>
      <c r="C15" s="452"/>
      <c r="D15" s="452"/>
      <c r="E15" s="309"/>
    </row>
    <row r="16" spans="1:5" s="1" customFormat="1" ht="12" customHeight="1">
      <c r="A16" s="14" t="s">
        <v>110</v>
      </c>
      <c r="B16" s="472" t="s">
        <v>430</v>
      </c>
      <c r="C16" s="452"/>
      <c r="D16" s="452"/>
      <c r="E16" s="309"/>
    </row>
    <row r="17" spans="1:5" s="1" customFormat="1" ht="12" customHeight="1">
      <c r="A17" s="14" t="s">
        <v>111</v>
      </c>
      <c r="B17" s="472" t="s">
        <v>263</v>
      </c>
      <c r="C17" s="452"/>
      <c r="D17" s="452"/>
      <c r="E17" s="309"/>
    </row>
    <row r="18" spans="1:5" s="1" customFormat="1" ht="12" customHeight="1" thickBot="1">
      <c r="A18" s="16" t="s">
        <v>120</v>
      </c>
      <c r="B18" s="339" t="s">
        <v>264</v>
      </c>
      <c r="C18" s="454"/>
      <c r="D18" s="454"/>
      <c r="E18" s="311"/>
    </row>
    <row r="19" spans="1:5" s="1" customFormat="1" ht="12" customHeight="1" thickBot="1">
      <c r="A19" s="20" t="s">
        <v>21</v>
      </c>
      <c r="B19" s="21" t="s">
        <v>265</v>
      </c>
      <c r="C19" s="451">
        <v>653606</v>
      </c>
      <c r="D19" s="451">
        <v>436214</v>
      </c>
      <c r="E19" s="308">
        <f>+E20+E21+E22+E23+E24</f>
        <v>0</v>
      </c>
    </row>
    <row r="20" spans="1:5" s="1" customFormat="1" ht="12" customHeight="1">
      <c r="A20" s="15" t="s">
        <v>90</v>
      </c>
      <c r="B20" s="471" t="s">
        <v>266</v>
      </c>
      <c r="C20" s="453"/>
      <c r="D20" s="453"/>
      <c r="E20" s="310"/>
    </row>
    <row r="21" spans="1:5" s="1" customFormat="1" ht="12" customHeight="1">
      <c r="A21" s="14" t="s">
        <v>91</v>
      </c>
      <c r="B21" s="472" t="s">
        <v>267</v>
      </c>
      <c r="C21" s="452"/>
      <c r="D21" s="452"/>
      <c r="E21" s="309"/>
    </row>
    <row r="22" spans="1:5" s="1" customFormat="1" ht="12" customHeight="1">
      <c r="A22" s="14" t="s">
        <v>92</v>
      </c>
      <c r="B22" s="472" t="s">
        <v>431</v>
      </c>
      <c r="C22" s="452"/>
      <c r="D22" s="452"/>
      <c r="E22" s="309"/>
    </row>
    <row r="23" spans="1:5" s="1" customFormat="1" ht="12" customHeight="1">
      <c r="A23" s="14" t="s">
        <v>93</v>
      </c>
      <c r="B23" s="472" t="s">
        <v>432</v>
      </c>
      <c r="C23" s="452"/>
      <c r="D23" s="452"/>
      <c r="E23" s="309"/>
    </row>
    <row r="24" spans="1:5" s="1" customFormat="1" ht="12" customHeight="1">
      <c r="A24" s="14" t="s">
        <v>172</v>
      </c>
      <c r="B24" s="472" t="s">
        <v>268</v>
      </c>
      <c r="C24" s="452"/>
      <c r="D24" s="452"/>
      <c r="E24" s="309"/>
    </row>
    <row r="25" spans="1:5" s="1" customFormat="1" ht="12" customHeight="1" thickBot="1">
      <c r="A25" s="16" t="s">
        <v>173</v>
      </c>
      <c r="B25" s="473" t="s">
        <v>269</v>
      </c>
      <c r="C25" s="454"/>
      <c r="D25" s="454"/>
      <c r="E25" s="311"/>
    </row>
    <row r="26" spans="1:5" s="1" customFormat="1" ht="12" customHeight="1" thickBot="1">
      <c r="A26" s="20" t="s">
        <v>174</v>
      </c>
      <c r="B26" s="21" t="s">
        <v>270</v>
      </c>
      <c r="C26" s="458">
        <v>100191</v>
      </c>
      <c r="D26" s="458">
        <v>94747</v>
      </c>
      <c r="E26" s="502">
        <v>96590</v>
      </c>
    </row>
    <row r="27" spans="1:5" s="1" customFormat="1" ht="12" customHeight="1">
      <c r="A27" s="15" t="s">
        <v>271</v>
      </c>
      <c r="B27" s="471" t="s">
        <v>563</v>
      </c>
      <c r="C27" s="453"/>
      <c r="D27" s="453"/>
      <c r="E27" s="343"/>
    </row>
    <row r="28" spans="1:5" s="1" customFormat="1" ht="12" customHeight="1">
      <c r="A28" s="14" t="s">
        <v>272</v>
      </c>
      <c r="B28" s="472" t="s">
        <v>564</v>
      </c>
      <c r="C28" s="452"/>
      <c r="D28" s="452"/>
      <c r="E28" s="344"/>
    </row>
    <row r="29" spans="1:5" s="1" customFormat="1" ht="12" customHeight="1">
      <c r="A29" s="14" t="s">
        <v>273</v>
      </c>
      <c r="B29" s="472" t="s">
        <v>565</v>
      </c>
      <c r="C29" s="452"/>
      <c r="D29" s="452"/>
      <c r="E29" s="344"/>
    </row>
    <row r="30" spans="1:5" s="1" customFormat="1" ht="12" customHeight="1">
      <c r="A30" s="14" t="s">
        <v>274</v>
      </c>
      <c r="B30" s="472" t="s">
        <v>566</v>
      </c>
      <c r="C30" s="452"/>
      <c r="D30" s="452"/>
      <c r="E30" s="344"/>
    </row>
    <row r="31" spans="1:5" s="1" customFormat="1" ht="12" customHeight="1">
      <c r="A31" s="14" t="s">
        <v>560</v>
      </c>
      <c r="B31" s="472" t="s">
        <v>275</v>
      </c>
      <c r="C31" s="452"/>
      <c r="D31" s="452"/>
      <c r="E31" s="344"/>
    </row>
    <row r="32" spans="1:5" s="1" customFormat="1" ht="12" customHeight="1">
      <c r="A32" s="14" t="s">
        <v>561</v>
      </c>
      <c r="B32" s="472" t="s">
        <v>276</v>
      </c>
      <c r="C32" s="452"/>
      <c r="D32" s="452"/>
      <c r="E32" s="344"/>
    </row>
    <row r="33" spans="1:5" s="1" customFormat="1" ht="12" customHeight="1" thickBot="1">
      <c r="A33" s="16" t="s">
        <v>562</v>
      </c>
      <c r="B33" s="473" t="s">
        <v>277</v>
      </c>
      <c r="C33" s="454"/>
      <c r="D33" s="454"/>
      <c r="E33" s="350"/>
    </row>
    <row r="34" spans="1:5" s="1" customFormat="1" ht="12" customHeight="1" thickBot="1">
      <c r="A34" s="20" t="s">
        <v>23</v>
      </c>
      <c r="B34" s="21" t="s">
        <v>441</v>
      </c>
      <c r="C34" s="451">
        <v>117130</v>
      </c>
      <c r="D34" s="451">
        <v>123249</v>
      </c>
      <c r="E34" s="308">
        <v>109368</v>
      </c>
    </row>
    <row r="35" spans="1:5" s="1" customFormat="1" ht="12" customHeight="1">
      <c r="A35" s="15" t="s">
        <v>94</v>
      </c>
      <c r="B35" s="471" t="s">
        <v>280</v>
      </c>
      <c r="C35" s="453"/>
      <c r="D35" s="453"/>
      <c r="E35" s="310"/>
    </row>
    <row r="36" spans="1:5" s="1" customFormat="1" ht="12" customHeight="1">
      <c r="A36" s="14" t="s">
        <v>95</v>
      </c>
      <c r="B36" s="472" t="s">
        <v>281</v>
      </c>
      <c r="C36" s="452"/>
      <c r="D36" s="452"/>
      <c r="E36" s="309"/>
    </row>
    <row r="37" spans="1:5" s="1" customFormat="1" ht="12" customHeight="1">
      <c r="A37" s="14" t="s">
        <v>96</v>
      </c>
      <c r="B37" s="472" t="s">
        <v>282</v>
      </c>
      <c r="C37" s="452"/>
      <c r="D37" s="452"/>
      <c r="E37" s="309"/>
    </row>
    <row r="38" spans="1:5" s="1" customFormat="1" ht="12" customHeight="1">
      <c r="A38" s="14" t="s">
        <v>176</v>
      </c>
      <c r="B38" s="472" t="s">
        <v>283</v>
      </c>
      <c r="C38" s="452"/>
      <c r="D38" s="452"/>
      <c r="E38" s="309"/>
    </row>
    <row r="39" spans="1:5" s="1" customFormat="1" ht="12" customHeight="1">
      <c r="A39" s="14" t="s">
        <v>177</v>
      </c>
      <c r="B39" s="472" t="s">
        <v>284</v>
      </c>
      <c r="C39" s="452"/>
      <c r="D39" s="452"/>
      <c r="E39" s="309"/>
    </row>
    <row r="40" spans="1:5" s="1" customFormat="1" ht="12" customHeight="1">
      <c r="A40" s="14" t="s">
        <v>178</v>
      </c>
      <c r="B40" s="472" t="s">
        <v>285</v>
      </c>
      <c r="C40" s="452"/>
      <c r="D40" s="452"/>
      <c r="E40" s="309"/>
    </row>
    <row r="41" spans="1:5" s="1" customFormat="1" ht="12" customHeight="1">
      <c r="A41" s="14" t="s">
        <v>179</v>
      </c>
      <c r="B41" s="472" t="s">
        <v>286</v>
      </c>
      <c r="C41" s="452"/>
      <c r="D41" s="452"/>
      <c r="E41" s="309"/>
    </row>
    <row r="42" spans="1:5" s="1" customFormat="1" ht="12" customHeight="1">
      <c r="A42" s="14" t="s">
        <v>180</v>
      </c>
      <c r="B42" s="472" t="s">
        <v>568</v>
      </c>
      <c r="C42" s="452"/>
      <c r="D42" s="452"/>
      <c r="E42" s="309"/>
    </row>
    <row r="43" spans="1:5" s="1" customFormat="1" ht="12" customHeight="1">
      <c r="A43" s="14" t="s">
        <v>278</v>
      </c>
      <c r="B43" s="472" t="s">
        <v>288</v>
      </c>
      <c r="C43" s="455"/>
      <c r="D43" s="455"/>
      <c r="E43" s="312"/>
    </row>
    <row r="44" spans="1:5" s="1" customFormat="1" ht="12" customHeight="1">
      <c r="A44" s="16" t="s">
        <v>279</v>
      </c>
      <c r="B44" s="473" t="s">
        <v>443</v>
      </c>
      <c r="C44" s="456"/>
      <c r="D44" s="456"/>
      <c r="E44" s="313"/>
    </row>
    <row r="45" spans="1:5" s="1" customFormat="1" ht="12" customHeight="1" thickBot="1">
      <c r="A45" s="16" t="s">
        <v>442</v>
      </c>
      <c r="B45" s="339" t="s">
        <v>289</v>
      </c>
      <c r="C45" s="456"/>
      <c r="D45" s="456"/>
      <c r="E45" s="313"/>
    </row>
    <row r="46" spans="1:5" s="1" customFormat="1" ht="12" customHeight="1" thickBot="1">
      <c r="A46" s="20" t="s">
        <v>24</v>
      </c>
      <c r="B46" s="21" t="s">
        <v>290</v>
      </c>
      <c r="C46" s="451">
        <v>11961</v>
      </c>
      <c r="D46" s="451">
        <v>79623</v>
      </c>
      <c r="E46" s="308">
        <v>12712</v>
      </c>
    </row>
    <row r="47" spans="1:5" s="1" customFormat="1" ht="12" customHeight="1">
      <c r="A47" s="15" t="s">
        <v>97</v>
      </c>
      <c r="B47" s="471" t="s">
        <v>294</v>
      </c>
      <c r="C47" s="518"/>
      <c r="D47" s="518"/>
      <c r="E47" s="335"/>
    </row>
    <row r="48" spans="1:5" s="1" customFormat="1" ht="12" customHeight="1">
      <c r="A48" s="14" t="s">
        <v>98</v>
      </c>
      <c r="B48" s="472" t="s">
        <v>295</v>
      </c>
      <c r="C48" s="455"/>
      <c r="D48" s="455"/>
      <c r="E48" s="312"/>
    </row>
    <row r="49" spans="1:5" s="1" customFormat="1" ht="12" customHeight="1">
      <c r="A49" s="14" t="s">
        <v>291</v>
      </c>
      <c r="B49" s="472" t="s">
        <v>296</v>
      </c>
      <c r="C49" s="455"/>
      <c r="D49" s="455"/>
      <c r="E49" s="312"/>
    </row>
    <row r="50" spans="1:5" s="1" customFormat="1" ht="12" customHeight="1">
      <c r="A50" s="14" t="s">
        <v>292</v>
      </c>
      <c r="B50" s="472" t="s">
        <v>297</v>
      </c>
      <c r="C50" s="455"/>
      <c r="D50" s="455"/>
      <c r="E50" s="312"/>
    </row>
    <row r="51" spans="1:5" s="1" customFormat="1" ht="12" customHeight="1" thickBot="1">
      <c r="A51" s="16" t="s">
        <v>293</v>
      </c>
      <c r="B51" s="339" t="s">
        <v>298</v>
      </c>
      <c r="C51" s="456"/>
      <c r="D51" s="456"/>
      <c r="E51" s="313"/>
    </row>
    <row r="52" spans="1:5" s="1" customFormat="1" ht="12" customHeight="1" thickBot="1">
      <c r="A52" s="20" t="s">
        <v>181</v>
      </c>
      <c r="B52" s="21" t="s">
        <v>299</v>
      </c>
      <c r="C52" s="451">
        <v>59573</v>
      </c>
      <c r="D52" s="451">
        <v>7771</v>
      </c>
      <c r="E52" s="308">
        <f>SUM(E53:E55)</f>
        <v>0</v>
      </c>
    </row>
    <row r="53" spans="1:5" s="1" customFormat="1" ht="12" customHeight="1">
      <c r="A53" s="15" t="s">
        <v>99</v>
      </c>
      <c r="B53" s="471" t="s">
        <v>300</v>
      </c>
      <c r="C53" s="453"/>
      <c r="D53" s="453"/>
      <c r="E53" s="310"/>
    </row>
    <row r="54" spans="1:5" s="1" customFormat="1" ht="12" customHeight="1">
      <c r="A54" s="14" t="s">
        <v>100</v>
      </c>
      <c r="B54" s="472" t="s">
        <v>433</v>
      </c>
      <c r="C54" s="452"/>
      <c r="D54" s="452"/>
      <c r="E54" s="309"/>
    </row>
    <row r="55" spans="1:5" s="1" customFormat="1" ht="12" customHeight="1">
      <c r="A55" s="14" t="s">
        <v>303</v>
      </c>
      <c r="B55" s="472" t="s">
        <v>301</v>
      </c>
      <c r="C55" s="452"/>
      <c r="D55" s="452"/>
      <c r="E55" s="309"/>
    </row>
    <row r="56" spans="1:5" s="1" customFormat="1" ht="12" customHeight="1" thickBot="1">
      <c r="A56" s="16" t="s">
        <v>304</v>
      </c>
      <c r="B56" s="339" t="s">
        <v>302</v>
      </c>
      <c r="C56" s="454"/>
      <c r="D56" s="454"/>
      <c r="E56" s="311"/>
    </row>
    <row r="57" spans="1:5" s="1" customFormat="1" ht="12" customHeight="1" thickBot="1">
      <c r="A57" s="20" t="s">
        <v>26</v>
      </c>
      <c r="B57" s="337" t="s">
        <v>305</v>
      </c>
      <c r="C57" s="451">
        <v>369590</v>
      </c>
      <c r="D57" s="451">
        <v>4103</v>
      </c>
      <c r="E57" s="308">
        <v>15810</v>
      </c>
    </row>
    <row r="58" spans="1:5" s="1" customFormat="1" ht="12" customHeight="1">
      <c r="A58" s="15" t="s">
        <v>182</v>
      </c>
      <c r="B58" s="471" t="s">
        <v>307</v>
      </c>
      <c r="C58" s="455"/>
      <c r="D58" s="455"/>
      <c r="E58" s="312"/>
    </row>
    <row r="59" spans="1:5" s="1" customFormat="1" ht="12" customHeight="1">
      <c r="A59" s="14" t="s">
        <v>183</v>
      </c>
      <c r="B59" s="472" t="s">
        <v>434</v>
      </c>
      <c r="C59" s="455"/>
      <c r="D59" s="455"/>
      <c r="E59" s="312"/>
    </row>
    <row r="60" spans="1:5" s="1" customFormat="1" ht="12" customHeight="1">
      <c r="A60" s="14" t="s">
        <v>231</v>
      </c>
      <c r="B60" s="472" t="s">
        <v>308</v>
      </c>
      <c r="C60" s="455"/>
      <c r="D60" s="455"/>
      <c r="E60" s="312"/>
    </row>
    <row r="61" spans="1:5" s="1" customFormat="1" ht="12" customHeight="1" thickBot="1">
      <c r="A61" s="16" t="s">
        <v>306</v>
      </c>
      <c r="B61" s="339" t="s">
        <v>309</v>
      </c>
      <c r="C61" s="455"/>
      <c r="D61" s="455"/>
      <c r="E61" s="312"/>
    </row>
    <row r="62" spans="1:5" s="1" customFormat="1" ht="12" customHeight="1" thickBot="1">
      <c r="A62" s="550" t="s">
        <v>483</v>
      </c>
      <c r="B62" s="21" t="s">
        <v>310</v>
      </c>
      <c r="C62" s="458">
        <f>+C5+C12+C19+C26+C34+C46+C52+C57</f>
        <v>2111818</v>
      </c>
      <c r="D62" s="458">
        <f>+D5+D12+D19+D26+D34+D46+D52+D57</f>
        <v>1816161</v>
      </c>
      <c r="E62" s="502">
        <f>+E5+E12+E19+E26+E34+E46+E52+E57</f>
        <v>1075170</v>
      </c>
    </row>
    <row r="63" spans="1:5" s="1" customFormat="1" ht="12" customHeight="1" thickBot="1">
      <c r="A63" s="519" t="s">
        <v>311</v>
      </c>
      <c r="B63" s="337" t="s">
        <v>551</v>
      </c>
      <c r="C63" s="451">
        <f>SUM(C64:C66)</f>
        <v>0</v>
      </c>
      <c r="D63" s="451">
        <f>SUM(D64:D66)</f>
        <v>96937</v>
      </c>
      <c r="E63" s="308">
        <f>SUM(E64:E66)</f>
        <v>34369</v>
      </c>
    </row>
    <row r="64" spans="1:5" s="1" customFormat="1" ht="12" customHeight="1">
      <c r="A64" s="15" t="s">
        <v>343</v>
      </c>
      <c r="B64" s="471" t="s">
        <v>313</v>
      </c>
      <c r="C64" s="455"/>
      <c r="D64" s="455">
        <v>96937</v>
      </c>
      <c r="E64" s="312">
        <v>34369</v>
      </c>
    </row>
    <row r="65" spans="1:5" s="1" customFormat="1" ht="12" customHeight="1">
      <c r="A65" s="14" t="s">
        <v>352</v>
      </c>
      <c r="B65" s="472" t="s">
        <v>314</v>
      </c>
      <c r="C65" s="455"/>
      <c r="D65" s="455"/>
      <c r="E65" s="312"/>
    </row>
    <row r="66" spans="1:5" s="1" customFormat="1" ht="12" customHeight="1" thickBot="1">
      <c r="A66" s="16" t="s">
        <v>353</v>
      </c>
      <c r="B66" s="544" t="s">
        <v>468</v>
      </c>
      <c r="C66" s="455"/>
      <c r="D66" s="455"/>
      <c r="E66" s="312"/>
    </row>
    <row r="67" spans="1:5" s="1" customFormat="1" ht="12" customHeight="1" thickBot="1">
      <c r="A67" s="519" t="s">
        <v>316</v>
      </c>
      <c r="B67" s="337" t="s">
        <v>317</v>
      </c>
      <c r="C67" s="451">
        <f>SUM(C68:C71)</f>
        <v>0</v>
      </c>
      <c r="D67" s="451">
        <f>SUM(D68:D71)</f>
        <v>0</v>
      </c>
      <c r="E67" s="308">
        <f>SUM(E68:E71)</f>
        <v>0</v>
      </c>
    </row>
    <row r="68" spans="1:5" s="1" customFormat="1" ht="12" customHeight="1">
      <c r="A68" s="15" t="s">
        <v>153</v>
      </c>
      <c r="B68" s="471" t="s">
        <v>318</v>
      </c>
      <c r="C68" s="455"/>
      <c r="D68" s="455"/>
      <c r="E68" s="312"/>
    </row>
    <row r="69" spans="1:7" s="1" customFormat="1" ht="17.25" customHeight="1">
      <c r="A69" s="14" t="s">
        <v>154</v>
      </c>
      <c r="B69" s="472" t="s">
        <v>319</v>
      </c>
      <c r="C69" s="455"/>
      <c r="D69" s="455"/>
      <c r="E69" s="312"/>
      <c r="G69" s="47"/>
    </row>
    <row r="70" spans="1:5" s="1" customFormat="1" ht="12" customHeight="1">
      <c r="A70" s="14" t="s">
        <v>344</v>
      </c>
      <c r="B70" s="472" t="s">
        <v>320</v>
      </c>
      <c r="C70" s="455"/>
      <c r="D70" s="455"/>
      <c r="E70" s="312"/>
    </row>
    <row r="71" spans="1:5" s="1" customFormat="1" ht="12" customHeight="1" thickBot="1">
      <c r="A71" s="16" t="s">
        <v>345</v>
      </c>
      <c r="B71" s="339" t="s">
        <v>321</v>
      </c>
      <c r="C71" s="455"/>
      <c r="D71" s="455"/>
      <c r="E71" s="312"/>
    </row>
    <row r="72" spans="1:5" s="1" customFormat="1" ht="12" customHeight="1" thickBot="1">
      <c r="A72" s="519" t="s">
        <v>322</v>
      </c>
      <c r="B72" s="337" t="s">
        <v>323</v>
      </c>
      <c r="C72" s="451">
        <f>SUM(C73:C74)</f>
        <v>123671</v>
      </c>
      <c r="D72" s="451">
        <f>SUM(D73:D74)</f>
        <v>31344</v>
      </c>
      <c r="E72" s="308">
        <f>SUM(E73:E74)</f>
        <v>40000</v>
      </c>
    </row>
    <row r="73" spans="1:5" s="1" customFormat="1" ht="12" customHeight="1">
      <c r="A73" s="15" t="s">
        <v>346</v>
      </c>
      <c r="B73" s="471" t="s">
        <v>324</v>
      </c>
      <c r="C73" s="455">
        <v>123671</v>
      </c>
      <c r="D73" s="455">
        <v>31344</v>
      </c>
      <c r="E73" s="312">
        <v>40000</v>
      </c>
    </row>
    <row r="74" spans="1:5" s="1" customFormat="1" ht="12" customHeight="1" thickBot="1">
      <c r="A74" s="16" t="s">
        <v>347</v>
      </c>
      <c r="B74" s="339" t="s">
        <v>325</v>
      </c>
      <c r="C74" s="455"/>
      <c r="D74" s="455"/>
      <c r="E74" s="312"/>
    </row>
    <row r="75" spans="1:5" s="1" customFormat="1" ht="12" customHeight="1" thickBot="1">
      <c r="A75" s="519" t="s">
        <v>326</v>
      </c>
      <c r="B75" s="337" t="s">
        <v>327</v>
      </c>
      <c r="C75" s="451">
        <f>SUM(C76:C78)</f>
        <v>15197</v>
      </c>
      <c r="D75" s="451">
        <f>SUM(D76:D78)</f>
        <v>0</v>
      </c>
      <c r="E75" s="308">
        <f>SUM(E76:E78)</f>
        <v>0</v>
      </c>
    </row>
    <row r="76" spans="1:5" s="1" customFormat="1" ht="12" customHeight="1">
      <c r="A76" s="15" t="s">
        <v>348</v>
      </c>
      <c r="B76" s="471" t="s">
        <v>328</v>
      </c>
      <c r="C76" s="455">
        <v>15197</v>
      </c>
      <c r="D76" s="455"/>
      <c r="E76" s="312"/>
    </row>
    <row r="77" spans="1:5" s="1" customFormat="1" ht="12" customHeight="1">
      <c r="A77" s="14" t="s">
        <v>349</v>
      </c>
      <c r="B77" s="472" t="s">
        <v>329</v>
      </c>
      <c r="C77" s="455"/>
      <c r="D77" s="455"/>
      <c r="E77" s="312"/>
    </row>
    <row r="78" spans="1:5" s="1" customFormat="1" ht="12" customHeight="1" thickBot="1">
      <c r="A78" s="16" t="s">
        <v>350</v>
      </c>
      <c r="B78" s="339" t="s">
        <v>330</v>
      </c>
      <c r="C78" s="455"/>
      <c r="D78" s="455"/>
      <c r="E78" s="312"/>
    </row>
    <row r="79" spans="1:5" s="1" customFormat="1" ht="12" customHeight="1" thickBot="1">
      <c r="A79" s="519" t="s">
        <v>331</v>
      </c>
      <c r="B79" s="337" t="s">
        <v>351</v>
      </c>
      <c r="C79" s="451">
        <f>SUM(C80:C83)</f>
        <v>0</v>
      </c>
      <c r="D79" s="451">
        <f>SUM(D80:D83)</f>
        <v>0</v>
      </c>
      <c r="E79" s="308">
        <f>SUM(E80:E83)</f>
        <v>0</v>
      </c>
    </row>
    <row r="80" spans="1:5" s="1" customFormat="1" ht="12" customHeight="1">
      <c r="A80" s="475" t="s">
        <v>332</v>
      </c>
      <c r="B80" s="471" t="s">
        <v>333</v>
      </c>
      <c r="C80" s="455"/>
      <c r="D80" s="455"/>
      <c r="E80" s="312"/>
    </row>
    <row r="81" spans="1:5" s="1" customFormat="1" ht="12" customHeight="1">
      <c r="A81" s="476" t="s">
        <v>334</v>
      </c>
      <c r="B81" s="472" t="s">
        <v>335</v>
      </c>
      <c r="C81" s="455"/>
      <c r="D81" s="455"/>
      <c r="E81" s="312"/>
    </row>
    <row r="82" spans="1:5" s="1" customFormat="1" ht="12" customHeight="1">
      <c r="A82" s="476" t="s">
        <v>336</v>
      </c>
      <c r="B82" s="472" t="s">
        <v>337</v>
      </c>
      <c r="C82" s="455"/>
      <c r="D82" s="455"/>
      <c r="E82" s="312"/>
    </row>
    <row r="83" spans="1:5" s="1" customFormat="1" ht="12" customHeight="1" thickBot="1">
      <c r="A83" s="477" t="s">
        <v>338</v>
      </c>
      <c r="B83" s="339" t="s">
        <v>339</v>
      </c>
      <c r="C83" s="455"/>
      <c r="D83" s="455"/>
      <c r="E83" s="312"/>
    </row>
    <row r="84" spans="1:5" s="1" customFormat="1" ht="12" customHeight="1" thickBot="1">
      <c r="A84" s="519" t="s">
        <v>340</v>
      </c>
      <c r="B84" s="337" t="s">
        <v>482</v>
      </c>
      <c r="C84" s="521"/>
      <c r="D84" s="521"/>
      <c r="E84" s="522"/>
    </row>
    <row r="85" spans="1:5" s="1" customFormat="1" ht="12" customHeight="1" thickBot="1">
      <c r="A85" s="519" t="s">
        <v>342</v>
      </c>
      <c r="B85" s="337" t="s">
        <v>341</v>
      </c>
      <c r="C85" s="521"/>
      <c r="D85" s="521"/>
      <c r="E85" s="522"/>
    </row>
    <row r="86" spans="1:5" s="1" customFormat="1" ht="12" customHeight="1" thickBot="1">
      <c r="A86" s="519" t="s">
        <v>354</v>
      </c>
      <c r="B86" s="478" t="s">
        <v>485</v>
      </c>
      <c r="C86" s="458">
        <f>+C63+C67+C72+C75+C79+C85+C84</f>
        <v>138868</v>
      </c>
      <c r="D86" s="458">
        <f>+D63+D67+D72+D75+D79+D85+D84</f>
        <v>128281</v>
      </c>
      <c r="E86" s="502">
        <f>+E63+E67+E72+E75+E79+E85+E84</f>
        <v>74369</v>
      </c>
    </row>
    <row r="87" spans="1:5" s="1" customFormat="1" ht="12" customHeight="1" thickBot="1">
      <c r="A87" s="520" t="s">
        <v>484</v>
      </c>
      <c r="B87" s="479" t="s">
        <v>486</v>
      </c>
      <c r="C87" s="458">
        <f>+C62+C86</f>
        <v>2250686</v>
      </c>
      <c r="D87" s="458">
        <f>+D62+D86</f>
        <v>1944442</v>
      </c>
      <c r="E87" s="502">
        <f>+E62+E86</f>
        <v>1149539</v>
      </c>
    </row>
    <row r="88" spans="1:5" s="1" customFormat="1" ht="12" customHeight="1">
      <c r="A88" s="420"/>
      <c r="B88" s="421"/>
      <c r="C88" s="422"/>
      <c r="D88" s="423"/>
      <c r="E88" s="424"/>
    </row>
    <row r="89" spans="1:5" s="1" customFormat="1" ht="12" customHeight="1">
      <c r="A89" s="620" t="s">
        <v>48</v>
      </c>
      <c r="B89" s="620"/>
      <c r="C89" s="620"/>
      <c r="D89" s="620"/>
      <c r="E89" s="620"/>
    </row>
    <row r="90" spans="1:5" s="1" customFormat="1" ht="12" customHeight="1" thickBot="1">
      <c r="A90" s="622" t="s">
        <v>157</v>
      </c>
      <c r="B90" s="622"/>
      <c r="C90" s="437"/>
      <c r="D90" s="168"/>
      <c r="E90" s="352" t="s">
        <v>230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2014. évi tény</v>
      </c>
      <c r="D91" s="24" t="str">
        <f>+D3</f>
        <v>2015. évi várható</v>
      </c>
      <c r="E91" s="190" t="str">
        <f>+E3</f>
        <v>2016. évi előirányzat</v>
      </c>
      <c r="F91" s="176"/>
    </row>
    <row r="92" spans="1:6" s="1" customFormat="1" ht="12" customHeight="1" thickBot="1">
      <c r="A92" s="37" t="s">
        <v>499</v>
      </c>
      <c r="B92" s="38" t="s">
        <v>500</v>
      </c>
      <c r="C92" s="38" t="s">
        <v>501</v>
      </c>
      <c r="D92" s="38" t="s">
        <v>503</v>
      </c>
      <c r="E92" s="503" t="s">
        <v>502</v>
      </c>
      <c r="F92" s="176"/>
    </row>
    <row r="93" spans="1:6" s="1" customFormat="1" ht="15" customHeight="1" thickBot="1">
      <c r="A93" s="22" t="s">
        <v>19</v>
      </c>
      <c r="B93" s="31" t="s">
        <v>444</v>
      </c>
      <c r="C93" s="450">
        <f>C94+C95+C96+C97+C98+C111</f>
        <v>1056552</v>
      </c>
      <c r="D93" s="450">
        <f>D94+D95+D96+D97+D98+D111</f>
        <v>1340581</v>
      </c>
      <c r="E93" s="554">
        <f>E94+E95+E96+E97+E98+E111</f>
        <v>1086598</v>
      </c>
      <c r="F93" s="176"/>
    </row>
    <row r="94" spans="1:5" s="1" customFormat="1" ht="12.75" customHeight="1">
      <c r="A94" s="17" t="s">
        <v>101</v>
      </c>
      <c r="B94" s="10" t="s">
        <v>50</v>
      </c>
      <c r="C94" s="561">
        <v>423345</v>
      </c>
      <c r="D94" s="561">
        <v>548173</v>
      </c>
      <c r="E94" s="555">
        <v>512826</v>
      </c>
    </row>
    <row r="95" spans="1:5" ht="16.5" customHeight="1">
      <c r="A95" s="14" t="s">
        <v>102</v>
      </c>
      <c r="B95" s="8" t="s">
        <v>184</v>
      </c>
      <c r="C95" s="452">
        <v>88589</v>
      </c>
      <c r="D95" s="452">
        <v>115017</v>
      </c>
      <c r="E95" s="309">
        <v>104193</v>
      </c>
    </row>
    <row r="96" spans="1:5" ht="15.75">
      <c r="A96" s="14" t="s">
        <v>103</v>
      </c>
      <c r="B96" s="8" t="s">
        <v>144</v>
      </c>
      <c r="C96" s="454">
        <v>322215</v>
      </c>
      <c r="D96" s="454">
        <v>507025</v>
      </c>
      <c r="E96" s="311">
        <v>376247</v>
      </c>
    </row>
    <row r="97" spans="1:5" s="46" customFormat="1" ht="12" customHeight="1">
      <c r="A97" s="14" t="s">
        <v>104</v>
      </c>
      <c r="B97" s="11" t="s">
        <v>185</v>
      </c>
      <c r="C97" s="454">
        <v>170832</v>
      </c>
      <c r="D97" s="454">
        <v>91680</v>
      </c>
      <c r="E97" s="311">
        <v>35992</v>
      </c>
    </row>
    <row r="98" spans="1:5" ht="12" customHeight="1">
      <c r="A98" s="14" t="s">
        <v>115</v>
      </c>
      <c r="B98" s="19" t="s">
        <v>186</v>
      </c>
      <c r="C98" s="454">
        <v>51571</v>
      </c>
      <c r="D98" s="454">
        <v>78686</v>
      </c>
      <c r="E98" s="311">
        <v>57340</v>
      </c>
    </row>
    <row r="99" spans="1:5" ht="12" customHeight="1">
      <c r="A99" s="14" t="s">
        <v>105</v>
      </c>
      <c r="B99" s="8" t="s">
        <v>449</v>
      </c>
      <c r="C99" s="454"/>
      <c r="D99" s="454"/>
      <c r="E99" s="311"/>
    </row>
    <row r="100" spans="1:5" ht="12" customHeight="1">
      <c r="A100" s="14" t="s">
        <v>106</v>
      </c>
      <c r="B100" s="172" t="s">
        <v>448</v>
      </c>
      <c r="C100" s="454"/>
      <c r="D100" s="454"/>
      <c r="E100" s="311"/>
    </row>
    <row r="101" spans="1:5" ht="12" customHeight="1">
      <c r="A101" s="14" t="s">
        <v>116</v>
      </c>
      <c r="B101" s="172" t="s">
        <v>447</v>
      </c>
      <c r="C101" s="454"/>
      <c r="D101" s="454"/>
      <c r="E101" s="311"/>
    </row>
    <row r="102" spans="1:5" ht="12" customHeight="1">
      <c r="A102" s="14" t="s">
        <v>117</v>
      </c>
      <c r="B102" s="170" t="s">
        <v>357</v>
      </c>
      <c r="C102" s="454"/>
      <c r="D102" s="454"/>
      <c r="E102" s="311"/>
    </row>
    <row r="103" spans="1:5" ht="12" customHeight="1">
      <c r="A103" s="14" t="s">
        <v>118</v>
      </c>
      <c r="B103" s="171" t="s">
        <v>358</v>
      </c>
      <c r="C103" s="454"/>
      <c r="D103" s="454"/>
      <c r="E103" s="311"/>
    </row>
    <row r="104" spans="1:5" ht="12" customHeight="1">
      <c r="A104" s="14" t="s">
        <v>119</v>
      </c>
      <c r="B104" s="171" t="s">
        <v>359</v>
      </c>
      <c r="C104" s="454"/>
      <c r="D104" s="454"/>
      <c r="E104" s="311"/>
    </row>
    <row r="105" spans="1:5" ht="12" customHeight="1">
      <c r="A105" s="14" t="s">
        <v>121</v>
      </c>
      <c r="B105" s="170" t="s">
        <v>360</v>
      </c>
      <c r="C105" s="454"/>
      <c r="D105" s="454"/>
      <c r="E105" s="311"/>
    </row>
    <row r="106" spans="1:5" ht="12" customHeight="1">
      <c r="A106" s="14" t="s">
        <v>187</v>
      </c>
      <c r="B106" s="170" t="s">
        <v>361</v>
      </c>
      <c r="C106" s="454"/>
      <c r="D106" s="454"/>
      <c r="E106" s="311"/>
    </row>
    <row r="107" spans="1:5" ht="12" customHeight="1">
      <c r="A107" s="14" t="s">
        <v>355</v>
      </c>
      <c r="B107" s="171" t="s">
        <v>362</v>
      </c>
      <c r="C107" s="454"/>
      <c r="D107" s="454"/>
      <c r="E107" s="311"/>
    </row>
    <row r="108" spans="1:5" ht="12" customHeight="1">
      <c r="A108" s="13" t="s">
        <v>356</v>
      </c>
      <c r="B108" s="172" t="s">
        <v>363</v>
      </c>
      <c r="C108" s="454"/>
      <c r="D108" s="454"/>
      <c r="E108" s="311"/>
    </row>
    <row r="109" spans="1:5" ht="12" customHeight="1">
      <c r="A109" s="14" t="s">
        <v>445</v>
      </c>
      <c r="B109" s="172" t="s">
        <v>364</v>
      </c>
      <c r="C109" s="454"/>
      <c r="D109" s="454"/>
      <c r="E109" s="311"/>
    </row>
    <row r="110" spans="1:5" ht="12" customHeight="1">
      <c r="A110" s="16" t="s">
        <v>446</v>
      </c>
      <c r="B110" s="172" t="s">
        <v>365</v>
      </c>
      <c r="C110" s="454"/>
      <c r="D110" s="454"/>
      <c r="E110" s="311"/>
    </row>
    <row r="111" spans="1:5" ht="12" customHeight="1">
      <c r="A111" s="14" t="s">
        <v>450</v>
      </c>
      <c r="B111" s="11" t="s">
        <v>51</v>
      </c>
      <c r="C111" s="452"/>
      <c r="D111" s="452"/>
      <c r="E111" s="309"/>
    </row>
    <row r="112" spans="1:5" ht="12" customHeight="1">
      <c r="A112" s="14" t="s">
        <v>451</v>
      </c>
      <c r="B112" s="8" t="s">
        <v>453</v>
      </c>
      <c r="C112" s="452"/>
      <c r="D112" s="452"/>
      <c r="E112" s="309"/>
    </row>
    <row r="113" spans="1:5" ht="12" customHeight="1" thickBot="1">
      <c r="A113" s="18" t="s">
        <v>452</v>
      </c>
      <c r="B113" s="548" t="s">
        <v>454</v>
      </c>
      <c r="C113" s="562"/>
      <c r="D113" s="562"/>
      <c r="E113" s="556"/>
    </row>
    <row r="114" spans="1:5" ht="12" customHeight="1" thickBot="1">
      <c r="A114" s="545" t="s">
        <v>20</v>
      </c>
      <c r="B114" s="546" t="s">
        <v>366</v>
      </c>
      <c r="C114" s="563">
        <f>+C115+C117+C119</f>
        <v>966775</v>
      </c>
      <c r="D114" s="563">
        <f>+D115+D117+D119</f>
        <v>586464</v>
      </c>
      <c r="E114" s="557">
        <f>+E115+E117+E119</f>
        <v>60408</v>
      </c>
    </row>
    <row r="115" spans="1:5" ht="12" customHeight="1">
      <c r="A115" s="15" t="s">
        <v>107</v>
      </c>
      <c r="B115" s="8" t="s">
        <v>229</v>
      </c>
      <c r="C115" s="453">
        <v>888551</v>
      </c>
      <c r="D115" s="453">
        <v>346265</v>
      </c>
      <c r="E115" s="310">
        <v>43008</v>
      </c>
    </row>
    <row r="116" spans="1:5" ht="15.75">
      <c r="A116" s="15" t="s">
        <v>108</v>
      </c>
      <c r="B116" s="12" t="s">
        <v>370</v>
      </c>
      <c r="C116" s="453"/>
      <c r="D116" s="453"/>
      <c r="E116" s="310"/>
    </row>
    <row r="117" spans="1:5" ht="12" customHeight="1">
      <c r="A117" s="15" t="s">
        <v>109</v>
      </c>
      <c r="B117" s="12" t="s">
        <v>188</v>
      </c>
      <c r="C117" s="452">
        <v>60643</v>
      </c>
      <c r="D117" s="452">
        <v>235499</v>
      </c>
      <c r="E117" s="309">
        <v>11400</v>
      </c>
    </row>
    <row r="118" spans="1:5" ht="12" customHeight="1">
      <c r="A118" s="15" t="s">
        <v>110</v>
      </c>
      <c r="B118" s="12" t="s">
        <v>371</v>
      </c>
      <c r="C118" s="452"/>
      <c r="D118" s="452"/>
      <c r="E118" s="309"/>
    </row>
    <row r="119" spans="1:5" ht="12" customHeight="1">
      <c r="A119" s="15" t="s">
        <v>111</v>
      </c>
      <c r="B119" s="339" t="s">
        <v>232</v>
      </c>
      <c r="C119" s="452">
        <v>17581</v>
      </c>
      <c r="D119" s="452">
        <v>4700</v>
      </c>
      <c r="E119" s="309">
        <v>6000</v>
      </c>
    </row>
    <row r="120" spans="1:5" ht="12" customHeight="1">
      <c r="A120" s="15" t="s">
        <v>120</v>
      </c>
      <c r="B120" s="338" t="s">
        <v>435</v>
      </c>
      <c r="C120" s="452"/>
      <c r="D120" s="452"/>
      <c r="E120" s="309"/>
    </row>
    <row r="121" spans="1:5" ht="12" customHeight="1">
      <c r="A121" s="15" t="s">
        <v>122</v>
      </c>
      <c r="B121" s="467" t="s">
        <v>376</v>
      </c>
      <c r="C121" s="452"/>
      <c r="D121" s="452"/>
      <c r="E121" s="309"/>
    </row>
    <row r="122" spans="1:5" ht="12" customHeight="1">
      <c r="A122" s="15" t="s">
        <v>189</v>
      </c>
      <c r="B122" s="171" t="s">
        <v>359</v>
      </c>
      <c r="C122" s="452"/>
      <c r="D122" s="452"/>
      <c r="E122" s="309"/>
    </row>
    <row r="123" spans="1:5" ht="12" customHeight="1">
      <c r="A123" s="15" t="s">
        <v>190</v>
      </c>
      <c r="B123" s="171" t="s">
        <v>375</v>
      </c>
      <c r="C123" s="452"/>
      <c r="D123" s="452"/>
      <c r="E123" s="309"/>
    </row>
    <row r="124" spans="1:5" ht="12" customHeight="1">
      <c r="A124" s="15" t="s">
        <v>191</v>
      </c>
      <c r="B124" s="171" t="s">
        <v>374</v>
      </c>
      <c r="C124" s="452"/>
      <c r="D124" s="452"/>
      <c r="E124" s="309"/>
    </row>
    <row r="125" spans="1:5" ht="12" customHeight="1">
      <c r="A125" s="15" t="s">
        <v>367</v>
      </c>
      <c r="B125" s="171" t="s">
        <v>362</v>
      </c>
      <c r="C125" s="452"/>
      <c r="D125" s="452"/>
      <c r="E125" s="309"/>
    </row>
    <row r="126" spans="1:5" ht="12" customHeight="1">
      <c r="A126" s="15" t="s">
        <v>368</v>
      </c>
      <c r="B126" s="171" t="s">
        <v>373</v>
      </c>
      <c r="C126" s="452"/>
      <c r="D126" s="452"/>
      <c r="E126" s="309"/>
    </row>
    <row r="127" spans="1:5" ht="12" customHeight="1" thickBot="1">
      <c r="A127" s="13" t="s">
        <v>369</v>
      </c>
      <c r="B127" s="171" t="s">
        <v>372</v>
      </c>
      <c r="C127" s="454"/>
      <c r="D127" s="454"/>
      <c r="E127" s="311"/>
    </row>
    <row r="128" spans="1:5" ht="12" customHeight="1" thickBot="1">
      <c r="A128" s="20" t="s">
        <v>21</v>
      </c>
      <c r="B128" s="151" t="s">
        <v>455</v>
      </c>
      <c r="C128" s="451">
        <f>+C93+C114</f>
        <v>2023327</v>
      </c>
      <c r="D128" s="451">
        <f>+D93+D114</f>
        <v>1927045</v>
      </c>
      <c r="E128" s="308">
        <f>+E93+E114</f>
        <v>1147006</v>
      </c>
    </row>
    <row r="129" spans="1:5" ht="12" customHeight="1" thickBot="1">
      <c r="A129" s="20" t="s">
        <v>22</v>
      </c>
      <c r="B129" s="151" t="s">
        <v>456</v>
      </c>
      <c r="C129" s="451">
        <f>+C130+C131+C132</f>
        <v>90851</v>
      </c>
      <c r="D129" s="451">
        <f>+D130+D131+D132</f>
        <v>250</v>
      </c>
      <c r="E129" s="308">
        <f>+E130+E131+E132</f>
        <v>1633</v>
      </c>
    </row>
    <row r="130" spans="1:5" ht="12" customHeight="1">
      <c r="A130" s="15" t="s">
        <v>271</v>
      </c>
      <c r="B130" s="12" t="s">
        <v>463</v>
      </c>
      <c r="C130" s="452">
        <v>90851</v>
      </c>
      <c r="D130" s="452">
        <v>250</v>
      </c>
      <c r="E130" s="309">
        <v>1633</v>
      </c>
    </row>
    <row r="131" spans="1:5" ht="12" customHeight="1">
      <c r="A131" s="15" t="s">
        <v>272</v>
      </c>
      <c r="B131" s="12" t="s">
        <v>464</v>
      </c>
      <c r="C131" s="452"/>
      <c r="D131" s="452"/>
      <c r="E131" s="309"/>
    </row>
    <row r="132" spans="1:5" ht="12" customHeight="1" thickBot="1">
      <c r="A132" s="13" t="s">
        <v>273</v>
      </c>
      <c r="B132" s="12" t="s">
        <v>465</v>
      </c>
      <c r="C132" s="452"/>
      <c r="D132" s="452"/>
      <c r="E132" s="309"/>
    </row>
    <row r="133" spans="1:5" ht="12" customHeight="1" thickBot="1">
      <c r="A133" s="20" t="s">
        <v>23</v>
      </c>
      <c r="B133" s="151" t="s">
        <v>457</v>
      </c>
      <c r="C133" s="451">
        <f>SUM(C134:C139)</f>
        <v>0</v>
      </c>
      <c r="D133" s="451">
        <f>SUM(D134:D139)</f>
        <v>0</v>
      </c>
      <c r="E133" s="308">
        <f>SUM(E134:E139)</f>
        <v>0</v>
      </c>
    </row>
    <row r="134" spans="1:5" ht="12" customHeight="1">
      <c r="A134" s="15" t="s">
        <v>94</v>
      </c>
      <c r="B134" s="9" t="s">
        <v>466</v>
      </c>
      <c r="C134" s="452"/>
      <c r="D134" s="452"/>
      <c r="E134" s="309"/>
    </row>
    <row r="135" spans="1:5" ht="12" customHeight="1">
      <c r="A135" s="15" t="s">
        <v>95</v>
      </c>
      <c r="B135" s="9" t="s">
        <v>458</v>
      </c>
      <c r="C135" s="452"/>
      <c r="D135" s="452"/>
      <c r="E135" s="309"/>
    </row>
    <row r="136" spans="1:5" ht="12" customHeight="1">
      <c r="A136" s="15" t="s">
        <v>96</v>
      </c>
      <c r="B136" s="9" t="s">
        <v>459</v>
      </c>
      <c r="C136" s="452"/>
      <c r="D136" s="452"/>
      <c r="E136" s="309"/>
    </row>
    <row r="137" spans="1:5" ht="12" customHeight="1">
      <c r="A137" s="15" t="s">
        <v>176</v>
      </c>
      <c r="B137" s="9" t="s">
        <v>460</v>
      </c>
      <c r="C137" s="452"/>
      <c r="D137" s="452"/>
      <c r="E137" s="309"/>
    </row>
    <row r="138" spans="1:5" ht="12" customHeight="1">
      <c r="A138" s="15" t="s">
        <v>177</v>
      </c>
      <c r="B138" s="9" t="s">
        <v>461</v>
      </c>
      <c r="C138" s="452"/>
      <c r="D138" s="452"/>
      <c r="E138" s="309"/>
    </row>
    <row r="139" spans="1:5" ht="12" customHeight="1" thickBot="1">
      <c r="A139" s="13" t="s">
        <v>178</v>
      </c>
      <c r="B139" s="9" t="s">
        <v>462</v>
      </c>
      <c r="C139" s="452"/>
      <c r="D139" s="452"/>
      <c r="E139" s="309"/>
    </row>
    <row r="140" spans="1:5" ht="12" customHeight="1" thickBot="1">
      <c r="A140" s="20" t="s">
        <v>24</v>
      </c>
      <c r="B140" s="151" t="s">
        <v>470</v>
      </c>
      <c r="C140" s="458">
        <f>+C141+C142+C143+C144</f>
        <v>0</v>
      </c>
      <c r="D140" s="458">
        <f>+D141+D142+D143+D144</f>
        <v>17147</v>
      </c>
      <c r="E140" s="502">
        <f>+E141+E142+E143+E144</f>
        <v>900</v>
      </c>
    </row>
    <row r="141" spans="1:5" ht="12" customHeight="1">
      <c r="A141" s="15" t="s">
        <v>97</v>
      </c>
      <c r="B141" s="9" t="s">
        <v>377</v>
      </c>
      <c r="C141" s="452"/>
      <c r="D141" s="452"/>
      <c r="E141" s="309"/>
    </row>
    <row r="142" spans="1:5" ht="12" customHeight="1">
      <c r="A142" s="15" t="s">
        <v>98</v>
      </c>
      <c r="B142" s="9" t="s">
        <v>378</v>
      </c>
      <c r="C142" s="452"/>
      <c r="D142" s="452">
        <v>15197</v>
      </c>
      <c r="E142" s="309"/>
    </row>
    <row r="143" spans="1:5" ht="12" customHeight="1">
      <c r="A143" s="15" t="s">
        <v>291</v>
      </c>
      <c r="B143" s="9" t="s">
        <v>471</v>
      </c>
      <c r="C143" s="452"/>
      <c r="D143" s="452"/>
      <c r="E143" s="309"/>
    </row>
    <row r="144" spans="1:5" ht="12" customHeight="1" thickBot="1">
      <c r="A144" s="13" t="s">
        <v>292</v>
      </c>
      <c r="B144" s="7" t="s">
        <v>397</v>
      </c>
      <c r="C144" s="452"/>
      <c r="D144" s="452">
        <v>1950</v>
      </c>
      <c r="E144" s="309">
        <v>900</v>
      </c>
    </row>
    <row r="145" spans="1:5" ht="12" customHeight="1" thickBot="1">
      <c r="A145" s="20" t="s">
        <v>25</v>
      </c>
      <c r="B145" s="151" t="s">
        <v>472</v>
      </c>
      <c r="C145" s="564">
        <f>SUM(C146:C150)</f>
        <v>0</v>
      </c>
      <c r="D145" s="564">
        <f>SUM(D146:D150)</f>
        <v>0</v>
      </c>
      <c r="E145" s="558">
        <f>SUM(E146:E150)</f>
        <v>0</v>
      </c>
    </row>
    <row r="146" spans="1:5" ht="12" customHeight="1">
      <c r="A146" s="15" t="s">
        <v>99</v>
      </c>
      <c r="B146" s="9" t="s">
        <v>467</v>
      </c>
      <c r="C146" s="452"/>
      <c r="D146" s="452"/>
      <c r="E146" s="309"/>
    </row>
    <row r="147" spans="1:5" ht="12" customHeight="1">
      <c r="A147" s="15" t="s">
        <v>100</v>
      </c>
      <c r="B147" s="9" t="s">
        <v>474</v>
      </c>
      <c r="C147" s="452"/>
      <c r="D147" s="452"/>
      <c r="E147" s="309"/>
    </row>
    <row r="148" spans="1:5" ht="12" customHeight="1">
      <c r="A148" s="15" t="s">
        <v>303</v>
      </c>
      <c r="B148" s="9" t="s">
        <v>469</v>
      </c>
      <c r="C148" s="452"/>
      <c r="D148" s="452"/>
      <c r="E148" s="309"/>
    </row>
    <row r="149" spans="1:5" ht="12" customHeight="1">
      <c r="A149" s="15" t="s">
        <v>304</v>
      </c>
      <c r="B149" s="9" t="s">
        <v>475</v>
      </c>
      <c r="C149" s="452"/>
      <c r="D149" s="452"/>
      <c r="E149" s="309"/>
    </row>
    <row r="150" spans="1:5" ht="12" customHeight="1" thickBot="1">
      <c r="A150" s="15" t="s">
        <v>473</v>
      </c>
      <c r="B150" s="9" t="s">
        <v>476</v>
      </c>
      <c r="C150" s="452"/>
      <c r="D150" s="452"/>
      <c r="E150" s="309"/>
    </row>
    <row r="151" spans="1:5" ht="12" customHeight="1" thickBot="1">
      <c r="A151" s="20" t="s">
        <v>26</v>
      </c>
      <c r="B151" s="151" t="s">
        <v>477</v>
      </c>
      <c r="C151" s="565"/>
      <c r="D151" s="565"/>
      <c r="E151" s="559"/>
    </row>
    <row r="152" spans="1:5" ht="12" customHeight="1" thickBot="1">
      <c r="A152" s="20" t="s">
        <v>27</v>
      </c>
      <c r="B152" s="151" t="s">
        <v>478</v>
      </c>
      <c r="C152" s="565"/>
      <c r="D152" s="565"/>
      <c r="E152" s="559"/>
    </row>
    <row r="153" spans="1:6" ht="15" customHeight="1" thickBot="1">
      <c r="A153" s="20" t="s">
        <v>28</v>
      </c>
      <c r="B153" s="151" t="s">
        <v>480</v>
      </c>
      <c r="C153" s="566">
        <f>+C129+C133+C140+C145+C151+C152</f>
        <v>90851</v>
      </c>
      <c r="D153" s="566">
        <f>+D129+D133+D140+D145+D151+D152</f>
        <v>17397</v>
      </c>
      <c r="E153" s="560">
        <f>+E129+E133+E140+E145+E151+E152</f>
        <v>2533</v>
      </c>
      <c r="F153" s="152"/>
    </row>
    <row r="154" spans="1:5" s="1" customFormat="1" ht="12.75" customHeight="1" thickBot="1">
      <c r="A154" s="340" t="s">
        <v>29</v>
      </c>
      <c r="B154" s="433" t="s">
        <v>479</v>
      </c>
      <c r="C154" s="566">
        <f>+C128+C153</f>
        <v>2114178</v>
      </c>
      <c r="D154" s="566">
        <f>+D128+D153</f>
        <v>1944442</v>
      </c>
      <c r="E154" s="560">
        <f>+E128+E153</f>
        <v>1149539</v>
      </c>
    </row>
    <row r="155" ht="15.75">
      <c r="C155" s="436"/>
    </row>
    <row r="156" ht="15.75">
      <c r="C156" s="436"/>
    </row>
    <row r="157" ht="15.75">
      <c r="C157" s="436"/>
    </row>
    <row r="158" ht="16.5" customHeight="1">
      <c r="C158" s="436"/>
    </row>
    <row r="159" ht="15.75">
      <c r="C159" s="436"/>
    </row>
    <row r="160" ht="15.75">
      <c r="C160" s="436"/>
    </row>
    <row r="161" ht="15.75">
      <c r="C161" s="436"/>
    </row>
    <row r="162" ht="15.75">
      <c r="C162" s="436"/>
    </row>
    <row r="163" ht="15.75">
      <c r="C163" s="436"/>
    </row>
    <row r="164" ht="15.75">
      <c r="C164" s="436"/>
    </row>
    <row r="165" ht="15.75">
      <c r="C165" s="436"/>
    </row>
    <row r="166" ht="15.75">
      <c r="C166" s="436"/>
    </row>
    <row r="167" ht="15.75">
      <c r="C167" s="436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1" r:id="rId1"/>
  <headerFooter alignWithMargins="0">
    <oddHeader>&amp;C&amp;"Times New Roman CE,Félkövér"&amp;12&amp;UTájékoztató kimutatások, mérlegek
&amp;U
Ibrány Város Önkormányzata
2016.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tabSelected="1" workbookViewId="0" topLeftCell="A1">
      <selection activeCell="A22" sqref="A22"/>
    </sheetView>
  </sheetViews>
  <sheetFormatPr defaultColWidth="9.00390625" defaultRowHeight="12.75"/>
  <cols>
    <col min="1" max="1" width="6.875" style="224" customWidth="1"/>
    <col min="2" max="2" width="49.625" style="62" customWidth="1"/>
    <col min="3" max="8" width="12.875" style="62" customWidth="1"/>
    <col min="9" max="9" width="14.375" style="62" customWidth="1"/>
    <col min="10" max="10" width="3.375" style="62" customWidth="1"/>
    <col min="11" max="16384" width="9.375" style="62" customWidth="1"/>
  </cols>
  <sheetData>
    <row r="1" spans="1:9" ht="27.75" customHeight="1">
      <c r="A1" s="669" t="s">
        <v>4</v>
      </c>
      <c r="B1" s="669"/>
      <c r="C1" s="669"/>
      <c r="D1" s="669"/>
      <c r="E1" s="669"/>
      <c r="F1" s="669"/>
      <c r="G1" s="669"/>
      <c r="H1" s="669"/>
      <c r="I1" s="669"/>
    </row>
    <row r="2" ht="20.25" customHeight="1" thickBot="1">
      <c r="I2" s="539" t="s">
        <v>63</v>
      </c>
    </row>
    <row r="3" spans="1:9" s="540" customFormat="1" ht="26.25" customHeight="1">
      <c r="A3" s="677" t="s">
        <v>72</v>
      </c>
      <c r="B3" s="672" t="s">
        <v>88</v>
      </c>
      <c r="C3" s="677" t="s">
        <v>89</v>
      </c>
      <c r="D3" s="677" t="str">
        <f>+CONCATENATE(LEFT(ÖSSZEFÜGGÉSEK!A5,4)," előtti kifizetés")</f>
        <v>2016 előtti kifizetés</v>
      </c>
      <c r="E3" s="674" t="s">
        <v>71</v>
      </c>
      <c r="F3" s="675"/>
      <c r="G3" s="675"/>
      <c r="H3" s="676"/>
      <c r="I3" s="672" t="s">
        <v>52</v>
      </c>
    </row>
    <row r="4" spans="1:9" s="541" customFormat="1" ht="32.25" customHeight="1" thickBot="1">
      <c r="A4" s="678"/>
      <c r="B4" s="673"/>
      <c r="C4" s="673"/>
      <c r="D4" s="678"/>
      <c r="E4" s="314" t="str">
        <f>+CONCATENATE(LEFT(ÖSSZEFÜGGÉSEK!A5,4),".")</f>
        <v>2016.</v>
      </c>
      <c r="F4" s="314" t="str">
        <f>+CONCATENATE(LEFT(ÖSSZEFÜGGÉSEK!A5,4)+1,".")</f>
        <v>2017.</v>
      </c>
      <c r="G4" s="314" t="str">
        <f>+CONCATENATE(LEFT(ÖSSZEFÜGGÉSEK!A5,4)+2,".")</f>
        <v>2018.</v>
      </c>
      <c r="H4" s="315" t="str">
        <f>+CONCATENATE(LEFT(ÖSSZEFÜGGÉSEK!A5,4)+2,".",CHAR(10)," után")</f>
        <v>2018.
 után</v>
      </c>
      <c r="I4" s="673"/>
    </row>
    <row r="5" spans="1:9" s="542" customFormat="1" ht="12.75" customHeight="1" thickBot="1">
      <c r="A5" s="316" t="s">
        <v>499</v>
      </c>
      <c r="B5" s="317" t="s">
        <v>500</v>
      </c>
      <c r="C5" s="318" t="s">
        <v>501</v>
      </c>
      <c r="D5" s="317" t="s">
        <v>503</v>
      </c>
      <c r="E5" s="316" t="s">
        <v>502</v>
      </c>
      <c r="F5" s="318" t="s">
        <v>504</v>
      </c>
      <c r="G5" s="318" t="s">
        <v>505</v>
      </c>
      <c r="H5" s="319" t="s">
        <v>506</v>
      </c>
      <c r="I5" s="320" t="s">
        <v>507</v>
      </c>
    </row>
    <row r="6" spans="1:9" ht="24.75" customHeight="1" thickBot="1">
      <c r="A6" s="321" t="s">
        <v>19</v>
      </c>
      <c r="B6" s="322" t="s">
        <v>5</v>
      </c>
      <c r="C6" s="534"/>
      <c r="D6" s="77">
        <f>+D7+D8</f>
        <v>0</v>
      </c>
      <c r="E6" s="78">
        <f>+E7+E8</f>
        <v>0</v>
      </c>
      <c r="F6" s="79">
        <f>+F7+F8</f>
        <v>0</v>
      </c>
      <c r="G6" s="79">
        <f>+G7+G8</f>
        <v>0</v>
      </c>
      <c r="H6" s="80">
        <f>+H7+H8</f>
        <v>0</v>
      </c>
      <c r="I6" s="77">
        <f aca="true" t="shared" si="0" ref="I6:I20">SUM(D6:H6)</f>
        <v>0</v>
      </c>
    </row>
    <row r="7" spans="1:10" ht="19.5" customHeight="1">
      <c r="A7" s="323" t="s">
        <v>20</v>
      </c>
      <c r="B7" s="81" t="s">
        <v>73</v>
      </c>
      <c r="C7" s="535"/>
      <c r="D7" s="82"/>
      <c r="E7" s="83"/>
      <c r="F7" s="28"/>
      <c r="G7" s="28"/>
      <c r="H7" s="25"/>
      <c r="I7" s="324">
        <f t="shared" si="0"/>
        <v>0</v>
      </c>
      <c r="J7" s="668" t="s">
        <v>534</v>
      </c>
    </row>
    <row r="8" spans="1:10" ht="19.5" customHeight="1" thickBot="1">
      <c r="A8" s="323" t="s">
        <v>21</v>
      </c>
      <c r="B8" s="81" t="s">
        <v>73</v>
      </c>
      <c r="C8" s="535"/>
      <c r="D8" s="82"/>
      <c r="E8" s="83"/>
      <c r="F8" s="28"/>
      <c r="G8" s="28"/>
      <c r="H8" s="25"/>
      <c r="I8" s="324">
        <f t="shared" si="0"/>
        <v>0</v>
      </c>
      <c r="J8" s="668"/>
    </row>
    <row r="9" spans="1:10" ht="25.5" customHeight="1" thickBot="1">
      <c r="A9" s="321" t="s">
        <v>22</v>
      </c>
      <c r="B9" s="322" t="s">
        <v>6</v>
      </c>
      <c r="C9" s="536"/>
      <c r="D9" s="77">
        <f>+D10+D13+D12+D11</f>
        <v>1432</v>
      </c>
      <c r="E9" s="78">
        <f>+E10+E13+E11+E12+E14</f>
        <v>3533</v>
      </c>
      <c r="F9" s="79">
        <f>+F10+F13+F11+F12+F14</f>
        <v>5485</v>
      </c>
      <c r="G9" s="79">
        <f>+G10+G13+G11+G12+G14</f>
        <v>5565</v>
      </c>
      <c r="H9" s="80">
        <f>+H10+H13+H11+H12+H14</f>
        <v>46801</v>
      </c>
      <c r="I9" s="77">
        <f t="shared" si="0"/>
        <v>62816</v>
      </c>
      <c r="J9" s="668"/>
    </row>
    <row r="10" spans="1:10" ht="19.5" customHeight="1">
      <c r="A10" s="323" t="s">
        <v>23</v>
      </c>
      <c r="B10" s="81" t="s">
        <v>584</v>
      </c>
      <c r="C10" s="535" t="s">
        <v>602</v>
      </c>
      <c r="D10" s="82">
        <v>500</v>
      </c>
      <c r="E10" s="83">
        <v>504</v>
      </c>
      <c r="F10" s="28">
        <v>2016</v>
      </c>
      <c r="G10" s="28">
        <v>2016</v>
      </c>
      <c r="H10" s="25">
        <v>21156</v>
      </c>
      <c r="I10" s="324">
        <f t="shared" si="0"/>
        <v>26192</v>
      </c>
      <c r="J10" s="668"/>
    </row>
    <row r="11" spans="1:10" ht="19.5" customHeight="1">
      <c r="A11" s="323" t="s">
        <v>24</v>
      </c>
      <c r="B11" s="81" t="s">
        <v>599</v>
      </c>
      <c r="C11" s="535" t="s">
        <v>602</v>
      </c>
      <c r="D11" s="82"/>
      <c r="E11" s="83">
        <v>129</v>
      </c>
      <c r="F11" s="28">
        <v>516</v>
      </c>
      <c r="G11" s="28">
        <v>516</v>
      </c>
      <c r="H11" s="25">
        <v>5535</v>
      </c>
      <c r="I11" s="324">
        <f t="shared" si="0"/>
        <v>6696</v>
      </c>
      <c r="J11" s="668"/>
    </row>
    <row r="12" spans="1:10" ht="19.5" customHeight="1">
      <c r="A12" s="323" t="s">
        <v>25</v>
      </c>
      <c r="B12" s="81" t="s">
        <v>600</v>
      </c>
      <c r="C12" s="535" t="s">
        <v>603</v>
      </c>
      <c r="D12" s="82">
        <v>500</v>
      </c>
      <c r="E12" s="83">
        <v>1000</v>
      </c>
      <c r="F12" s="28">
        <v>1000</v>
      </c>
      <c r="G12" s="28">
        <v>1000</v>
      </c>
      <c r="H12" s="25">
        <v>6498</v>
      </c>
      <c r="I12" s="324">
        <f t="shared" si="0"/>
        <v>9998</v>
      </c>
      <c r="J12" s="668"/>
    </row>
    <row r="13" spans="1:10" ht="19.5" customHeight="1">
      <c r="A13" s="323" t="s">
        <v>26</v>
      </c>
      <c r="B13" s="81" t="s">
        <v>601</v>
      </c>
      <c r="C13" s="535" t="s">
        <v>603</v>
      </c>
      <c r="D13" s="82">
        <v>432</v>
      </c>
      <c r="E13" s="83">
        <v>900</v>
      </c>
      <c r="F13" s="28">
        <v>953</v>
      </c>
      <c r="G13" s="28">
        <v>1033</v>
      </c>
      <c r="H13" s="25">
        <v>1612</v>
      </c>
      <c r="I13" s="324">
        <f t="shared" si="0"/>
        <v>4930</v>
      </c>
      <c r="J13" s="668"/>
    </row>
    <row r="14" spans="1:10" ht="19.5" customHeight="1" thickBot="1">
      <c r="A14" s="328" t="s">
        <v>27</v>
      </c>
      <c r="B14" s="695" t="s">
        <v>674</v>
      </c>
      <c r="C14" s="696" t="s">
        <v>668</v>
      </c>
      <c r="D14" s="88"/>
      <c r="E14" s="89">
        <v>1000</v>
      </c>
      <c r="F14" s="90">
        <v>1000</v>
      </c>
      <c r="G14" s="90">
        <v>1000</v>
      </c>
      <c r="H14" s="26">
        <v>12000</v>
      </c>
      <c r="I14" s="324">
        <f t="shared" si="0"/>
        <v>15000</v>
      </c>
      <c r="J14" s="668"/>
    </row>
    <row r="15" spans="1:10" ht="19.5" customHeight="1" thickBot="1">
      <c r="A15" s="321" t="s">
        <v>28</v>
      </c>
      <c r="B15" s="322" t="s">
        <v>208</v>
      </c>
      <c r="C15" s="536"/>
      <c r="D15" s="77">
        <f>+D16</f>
        <v>0</v>
      </c>
      <c r="E15" s="78">
        <f>+E16</f>
        <v>0</v>
      </c>
      <c r="F15" s="79">
        <f>+F16</f>
        <v>0</v>
      </c>
      <c r="G15" s="79">
        <f>+G16</f>
        <v>0</v>
      </c>
      <c r="H15" s="80">
        <f>+H16</f>
        <v>0</v>
      </c>
      <c r="I15" s="77">
        <f t="shared" si="0"/>
        <v>0</v>
      </c>
      <c r="J15" s="668"/>
    </row>
    <row r="16" spans="1:10" ht="19.5" customHeight="1" thickBot="1">
      <c r="A16" s="323" t="s">
        <v>29</v>
      </c>
      <c r="B16" s="81" t="s">
        <v>73</v>
      </c>
      <c r="C16" s="535"/>
      <c r="D16" s="82"/>
      <c r="E16" s="83"/>
      <c r="F16" s="28"/>
      <c r="G16" s="28"/>
      <c r="H16" s="25"/>
      <c r="I16" s="324">
        <f t="shared" si="0"/>
        <v>0</v>
      </c>
      <c r="J16" s="668"/>
    </row>
    <row r="17" spans="1:10" ht="19.5" customHeight="1" thickBot="1">
      <c r="A17" s="321" t="s">
        <v>30</v>
      </c>
      <c r="B17" s="322" t="s">
        <v>209</v>
      </c>
      <c r="C17" s="536"/>
      <c r="D17" s="77">
        <f>+D18</f>
        <v>0</v>
      </c>
      <c r="E17" s="78">
        <f>+E18</f>
        <v>0</v>
      </c>
      <c r="F17" s="79">
        <f>+F18</f>
        <v>0</v>
      </c>
      <c r="G17" s="79">
        <f>+G18</f>
        <v>0</v>
      </c>
      <c r="H17" s="80">
        <f>+H18</f>
        <v>0</v>
      </c>
      <c r="I17" s="77">
        <f t="shared" si="0"/>
        <v>0</v>
      </c>
      <c r="J17" s="668"/>
    </row>
    <row r="18" spans="1:10" ht="19.5" customHeight="1" thickBot="1">
      <c r="A18" s="325" t="s">
        <v>31</v>
      </c>
      <c r="B18" s="84" t="s">
        <v>73</v>
      </c>
      <c r="C18" s="537"/>
      <c r="D18" s="85"/>
      <c r="E18" s="86"/>
      <c r="F18" s="29"/>
      <c r="G18" s="29"/>
      <c r="H18" s="27"/>
      <c r="I18" s="326">
        <f t="shared" si="0"/>
        <v>0</v>
      </c>
      <c r="J18" s="668"/>
    </row>
    <row r="19" spans="1:10" ht="19.5" customHeight="1" thickBot="1">
      <c r="A19" s="321" t="s">
        <v>32</v>
      </c>
      <c r="B19" s="327" t="s">
        <v>210</v>
      </c>
      <c r="C19" s="536"/>
      <c r="D19" s="77">
        <f>+D20</f>
        <v>0</v>
      </c>
      <c r="E19" s="78">
        <f>+E20</f>
        <v>0</v>
      </c>
      <c r="F19" s="79">
        <f>+F20</f>
        <v>0</v>
      </c>
      <c r="G19" s="79">
        <f>+G20</f>
        <v>0</v>
      </c>
      <c r="H19" s="80">
        <f>+H20</f>
        <v>0</v>
      </c>
      <c r="I19" s="77">
        <f t="shared" si="0"/>
        <v>0</v>
      </c>
      <c r="J19" s="668"/>
    </row>
    <row r="20" spans="1:10" ht="19.5" customHeight="1" thickBot="1">
      <c r="A20" s="328" t="s">
        <v>33</v>
      </c>
      <c r="B20" s="87" t="s">
        <v>73</v>
      </c>
      <c r="C20" s="538"/>
      <c r="D20" s="88"/>
      <c r="E20" s="89"/>
      <c r="F20" s="90"/>
      <c r="G20" s="90"/>
      <c r="H20" s="26"/>
      <c r="I20" s="329">
        <f t="shared" si="0"/>
        <v>0</v>
      </c>
      <c r="J20" s="668"/>
    </row>
    <row r="21" spans="1:10" ht="19.5" customHeight="1" thickBot="1">
      <c r="A21" s="670" t="s">
        <v>675</v>
      </c>
      <c r="B21" s="671"/>
      <c r="C21" s="147"/>
      <c r="D21" s="77">
        <f aca="true" t="shared" si="1" ref="D21:I21">+D6+D9+D15+D17+D19</f>
        <v>1432</v>
      </c>
      <c r="E21" s="78">
        <f t="shared" si="1"/>
        <v>3533</v>
      </c>
      <c r="F21" s="79">
        <f t="shared" si="1"/>
        <v>5485</v>
      </c>
      <c r="G21" s="79">
        <f t="shared" si="1"/>
        <v>5565</v>
      </c>
      <c r="H21" s="80">
        <f t="shared" si="1"/>
        <v>46801</v>
      </c>
      <c r="I21" s="77">
        <f t="shared" si="1"/>
        <v>62816</v>
      </c>
      <c r="J21" s="668"/>
    </row>
  </sheetData>
  <sheetProtection/>
  <mergeCells count="9">
    <mergeCell ref="J7:J21"/>
    <mergeCell ref="A1:I1"/>
    <mergeCell ref="A21:B21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4"/>
  <sheetViews>
    <sheetView view="pageBreakPreview" zoomScale="60" workbookViewId="0" topLeftCell="A7">
      <selection activeCell="C19" sqref="C19"/>
    </sheetView>
  </sheetViews>
  <sheetFormatPr defaultColWidth="9.00390625" defaultRowHeight="12.75"/>
  <cols>
    <col min="1" max="1" width="5.875" style="104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80" t="s">
        <v>7</v>
      </c>
      <c r="C1" s="680"/>
      <c r="D1" s="680"/>
    </row>
    <row r="2" spans="1:4" s="92" customFormat="1" ht="16.5" thickBot="1">
      <c r="A2" s="91"/>
      <c r="B2" s="425"/>
      <c r="D2" s="50" t="s">
        <v>583</v>
      </c>
    </row>
    <row r="3" spans="1:4" s="94" customFormat="1" ht="48" customHeight="1" thickBot="1">
      <c r="A3" s="93" t="s">
        <v>17</v>
      </c>
      <c r="B3" s="230" t="s">
        <v>18</v>
      </c>
      <c r="C3" s="230" t="s">
        <v>74</v>
      </c>
      <c r="D3" s="231" t="s">
        <v>75</v>
      </c>
    </row>
    <row r="4" spans="1:4" s="94" customFormat="1" ht="13.5" customHeight="1" thickBot="1">
      <c r="A4" s="41" t="s">
        <v>499</v>
      </c>
      <c r="B4" s="233" t="s">
        <v>500</v>
      </c>
      <c r="C4" s="233" t="s">
        <v>501</v>
      </c>
      <c r="D4" s="234" t="s">
        <v>503</v>
      </c>
    </row>
    <row r="5" spans="1:4" ht="18" customHeight="1">
      <c r="A5" s="161" t="s">
        <v>19</v>
      </c>
      <c r="B5" s="235" t="s">
        <v>168</v>
      </c>
      <c r="C5" s="159">
        <v>460299</v>
      </c>
      <c r="D5" s="95">
        <v>460299</v>
      </c>
    </row>
    <row r="6" spans="1:4" ht="18" customHeight="1">
      <c r="A6" s="96" t="s">
        <v>20</v>
      </c>
      <c r="B6" s="236" t="s">
        <v>169</v>
      </c>
      <c r="C6" s="160"/>
      <c r="D6" s="98"/>
    </row>
    <row r="7" spans="1:4" ht="18" customHeight="1">
      <c r="A7" s="96" t="s">
        <v>21</v>
      </c>
      <c r="B7" s="236" t="s">
        <v>123</v>
      </c>
      <c r="C7" s="160"/>
      <c r="D7" s="98"/>
    </row>
    <row r="8" spans="1:4" ht="18" customHeight="1">
      <c r="A8" s="96" t="s">
        <v>22</v>
      </c>
      <c r="B8" s="236" t="s">
        <v>124</v>
      </c>
      <c r="C8" s="160"/>
      <c r="D8" s="98"/>
    </row>
    <row r="9" spans="1:4" ht="18" customHeight="1">
      <c r="A9" s="96" t="s">
        <v>23</v>
      </c>
      <c r="B9" s="236" t="s">
        <v>164</v>
      </c>
      <c r="C9" s="160">
        <f>C11+C10+C18</f>
        <v>6841000</v>
      </c>
      <c r="D9" s="160">
        <f>D11+D10+D18</f>
        <v>3929500</v>
      </c>
    </row>
    <row r="10" spans="1:4" ht="18" customHeight="1">
      <c r="A10" s="96" t="s">
        <v>24</v>
      </c>
      <c r="B10" s="236" t="s">
        <v>165</v>
      </c>
      <c r="C10" s="160"/>
      <c r="D10" s="98"/>
    </row>
    <row r="11" spans="1:4" ht="18" customHeight="1">
      <c r="A11" s="96" t="s">
        <v>25</v>
      </c>
      <c r="B11" s="237" t="s">
        <v>166</v>
      </c>
      <c r="C11" s="160">
        <f>SUM(C12:C17)</f>
        <v>5841000</v>
      </c>
      <c r="D11" s="160">
        <f>SUM(D12:D17)</f>
        <v>2929500</v>
      </c>
    </row>
    <row r="12" spans="1:4" ht="27.75" customHeight="1">
      <c r="A12" s="96" t="s">
        <v>27</v>
      </c>
      <c r="B12" s="237" t="s">
        <v>586</v>
      </c>
      <c r="C12" s="160">
        <f>267*9000</f>
        <v>2403000</v>
      </c>
      <c r="D12" s="98">
        <f>C12/2</f>
        <v>1201500</v>
      </c>
    </row>
    <row r="13" spans="1:4" ht="27" customHeight="1">
      <c r="A13" s="96" t="s">
        <v>28</v>
      </c>
      <c r="B13" s="237" t="s">
        <v>587</v>
      </c>
      <c r="C13" s="160">
        <f>154*9000</f>
        <v>1386000</v>
      </c>
      <c r="D13" s="98">
        <f>C13/2</f>
        <v>693000</v>
      </c>
    </row>
    <row r="14" spans="1:4" ht="28.5" customHeight="1">
      <c r="A14" s="96" t="s">
        <v>29</v>
      </c>
      <c r="B14" s="237" t="s">
        <v>588</v>
      </c>
      <c r="C14" s="160">
        <f>119*9000</f>
        <v>1071000</v>
      </c>
      <c r="D14" s="98">
        <f>C14/2</f>
        <v>535500</v>
      </c>
    </row>
    <row r="15" spans="1:4" ht="28.5" customHeight="1">
      <c r="A15" s="96"/>
      <c r="B15" s="237" t="s">
        <v>589</v>
      </c>
      <c r="C15" s="160">
        <v>18000</v>
      </c>
      <c r="D15" s="98">
        <v>18000</v>
      </c>
    </row>
    <row r="16" spans="1:4" ht="28.5" customHeight="1">
      <c r="A16" s="96"/>
      <c r="B16" s="237" t="s">
        <v>590</v>
      </c>
      <c r="C16" s="160">
        <f>50*9000</f>
        <v>450000</v>
      </c>
      <c r="D16" s="98">
        <f>C16/2</f>
        <v>225000</v>
      </c>
    </row>
    <row r="17" spans="1:4" ht="28.5" customHeight="1">
      <c r="A17" s="96"/>
      <c r="B17" s="237" t="s">
        <v>591</v>
      </c>
      <c r="C17" s="160">
        <f>57*9000</f>
        <v>513000</v>
      </c>
      <c r="D17" s="98">
        <f>C17/2</f>
        <v>256500</v>
      </c>
    </row>
    <row r="18" spans="1:4" ht="22.5" customHeight="1">
      <c r="A18" s="96" t="s">
        <v>30</v>
      </c>
      <c r="B18" s="237" t="s">
        <v>167</v>
      </c>
      <c r="C18" s="160">
        <v>1000000</v>
      </c>
      <c r="D18" s="98">
        <v>1000000</v>
      </c>
    </row>
    <row r="19" spans="1:4" ht="18" customHeight="1">
      <c r="A19" s="96" t="s">
        <v>31</v>
      </c>
      <c r="B19" s="236" t="s">
        <v>125</v>
      </c>
      <c r="C19" s="160"/>
      <c r="D19" s="98"/>
    </row>
    <row r="20" spans="1:4" ht="18" customHeight="1">
      <c r="A20" s="96" t="s">
        <v>32</v>
      </c>
      <c r="B20" s="236" t="s">
        <v>9</v>
      </c>
      <c r="C20" s="160"/>
      <c r="D20" s="98"/>
    </row>
    <row r="21" spans="1:4" ht="18" customHeight="1">
      <c r="A21" s="96" t="s">
        <v>33</v>
      </c>
      <c r="B21" s="236" t="s">
        <v>8</v>
      </c>
      <c r="C21" s="160"/>
      <c r="D21" s="98"/>
    </row>
    <row r="22" spans="1:4" ht="18" customHeight="1">
      <c r="A22" s="96" t="s">
        <v>34</v>
      </c>
      <c r="B22" s="236" t="s">
        <v>126</v>
      </c>
      <c r="C22" s="160"/>
      <c r="D22" s="98"/>
    </row>
    <row r="23" spans="1:4" ht="18" customHeight="1">
      <c r="A23" s="96" t="s">
        <v>35</v>
      </c>
      <c r="B23" s="236" t="s">
        <v>127</v>
      </c>
      <c r="C23" s="160"/>
      <c r="D23" s="98"/>
    </row>
    <row r="24" spans="1:4" ht="18" customHeight="1">
      <c r="A24" s="96" t="s">
        <v>36</v>
      </c>
      <c r="B24" s="150"/>
      <c r="C24" s="97"/>
      <c r="D24" s="98"/>
    </row>
    <row r="25" spans="1:4" ht="18" customHeight="1">
      <c r="A25" s="96" t="s">
        <v>37</v>
      </c>
      <c r="B25" s="99"/>
      <c r="C25" s="97"/>
      <c r="D25" s="98"/>
    </row>
    <row r="26" spans="1:4" ht="18" customHeight="1">
      <c r="A26" s="96" t="s">
        <v>38</v>
      </c>
      <c r="B26" s="99"/>
      <c r="C26" s="97"/>
      <c r="D26" s="98"/>
    </row>
    <row r="27" spans="1:4" ht="18" customHeight="1">
      <c r="A27" s="96" t="s">
        <v>39</v>
      </c>
      <c r="B27" s="99"/>
      <c r="C27" s="97"/>
      <c r="D27" s="98"/>
    </row>
    <row r="28" spans="1:4" ht="18" customHeight="1">
      <c r="A28" s="96" t="s">
        <v>40</v>
      </c>
      <c r="B28" s="99"/>
      <c r="C28" s="97"/>
      <c r="D28" s="98"/>
    </row>
    <row r="29" spans="1:4" ht="18" customHeight="1">
      <c r="A29" s="96" t="s">
        <v>41</v>
      </c>
      <c r="B29" s="99"/>
      <c r="C29" s="97"/>
      <c r="D29" s="98"/>
    </row>
    <row r="30" spans="1:4" ht="18" customHeight="1">
      <c r="A30" s="96" t="s">
        <v>42</v>
      </c>
      <c r="B30" s="99"/>
      <c r="C30" s="97"/>
      <c r="D30" s="98"/>
    </row>
    <row r="31" spans="1:4" ht="18" customHeight="1">
      <c r="A31" s="96" t="s">
        <v>43</v>
      </c>
      <c r="B31" s="99"/>
      <c r="C31" s="97"/>
      <c r="D31" s="98"/>
    </row>
    <row r="32" spans="1:4" ht="18" customHeight="1" thickBot="1">
      <c r="A32" s="162" t="s">
        <v>44</v>
      </c>
      <c r="B32" s="100"/>
      <c r="C32" s="101"/>
      <c r="D32" s="102"/>
    </row>
    <row r="33" spans="1:4" ht="18" customHeight="1" thickBot="1">
      <c r="A33" s="42" t="s">
        <v>45</v>
      </c>
      <c r="B33" s="241" t="s">
        <v>54</v>
      </c>
      <c r="C33" s="242">
        <f>+C5+C6+C7+C8+C9+C19+C20+C21+C22+C23+C24+C25+C26+C27+C28+C29+C30+C31+C32</f>
        <v>7301299</v>
      </c>
      <c r="D33" s="243">
        <f>+D5+D6+D7+D8+D9+D19+D20+D21+D22+D23+D24+D25+D26+D27+D28+D29+D30+D31+D32</f>
        <v>4389799</v>
      </c>
    </row>
    <row r="34" spans="1:4" ht="8.25" customHeight="1">
      <c r="A34" s="103"/>
      <c r="B34" s="679"/>
      <c r="C34" s="679"/>
      <c r="D34" s="679"/>
    </row>
  </sheetData>
  <sheetProtection/>
  <mergeCells count="2">
    <mergeCell ref="B34:D34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BreakPreview" zoomScale="60" workbookViewId="0" topLeftCell="A1">
      <selection activeCell="D24" sqref="D24:N24"/>
    </sheetView>
  </sheetViews>
  <sheetFormatPr defaultColWidth="9.00390625" defaultRowHeight="12.75"/>
  <cols>
    <col min="1" max="1" width="4.875" style="122" customWidth="1"/>
    <col min="2" max="2" width="31.125" style="138" customWidth="1"/>
    <col min="3" max="3" width="11.125" style="138" customWidth="1"/>
    <col min="4" max="4" width="10.50390625" style="138" customWidth="1"/>
    <col min="5" max="5" width="10.875" style="138" customWidth="1"/>
    <col min="6" max="6" width="11.375" style="138" customWidth="1"/>
    <col min="7" max="7" width="11.00390625" style="138" customWidth="1"/>
    <col min="8" max="9" width="10.875" style="138" customWidth="1"/>
    <col min="10" max="10" width="11.375" style="138" customWidth="1"/>
    <col min="11" max="11" width="11.125" style="138" customWidth="1"/>
    <col min="12" max="12" width="11.50390625" style="138" customWidth="1"/>
    <col min="13" max="14" width="12.00390625" style="138" customWidth="1"/>
    <col min="15" max="15" width="12.625" style="122" customWidth="1"/>
    <col min="16" max="16384" width="9.375" style="138" customWidth="1"/>
  </cols>
  <sheetData>
    <row r="1" spans="1:15" ht="31.5" customHeight="1">
      <c r="A1" s="687" t="str">
        <f>+CONCATENATE("Előirányzat-felhasználási terv",CHAR(10),LEFT(ÖSSZEFÜGGÉSEK!A5,4),". évre")</f>
        <v>Előirányzat-felhasználási terv
2016. évre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</row>
    <row r="2" ht="16.5" thickBot="1">
      <c r="O2" s="4" t="s">
        <v>56</v>
      </c>
    </row>
    <row r="3" spans="1:15" s="122" customFormat="1" ht="25.5" customHeight="1" thickBot="1">
      <c r="A3" s="119" t="s">
        <v>17</v>
      </c>
      <c r="B3" s="120" t="s">
        <v>64</v>
      </c>
      <c r="C3" s="120" t="s">
        <v>76</v>
      </c>
      <c r="D3" s="120" t="s">
        <v>77</v>
      </c>
      <c r="E3" s="120" t="s">
        <v>78</v>
      </c>
      <c r="F3" s="120" t="s">
        <v>79</v>
      </c>
      <c r="G3" s="120" t="s">
        <v>80</v>
      </c>
      <c r="H3" s="120" t="s">
        <v>81</v>
      </c>
      <c r="I3" s="120" t="s">
        <v>82</v>
      </c>
      <c r="J3" s="120" t="s">
        <v>83</v>
      </c>
      <c r="K3" s="120" t="s">
        <v>84</v>
      </c>
      <c r="L3" s="120" t="s">
        <v>85</v>
      </c>
      <c r="M3" s="120" t="s">
        <v>86</v>
      </c>
      <c r="N3" s="120" t="s">
        <v>87</v>
      </c>
      <c r="O3" s="121" t="s">
        <v>54</v>
      </c>
    </row>
    <row r="4" spans="1:15" s="124" customFormat="1" ht="15" customHeight="1" thickBot="1">
      <c r="A4" s="606" t="s">
        <v>19</v>
      </c>
      <c r="B4" s="681" t="s">
        <v>58</v>
      </c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683"/>
    </row>
    <row r="5" spans="1:15" s="124" customFormat="1" ht="22.5">
      <c r="A5" s="606" t="s">
        <v>20</v>
      </c>
      <c r="B5" s="607" t="s">
        <v>380</v>
      </c>
      <c r="C5" s="610">
        <f>O5/12</f>
        <v>70057478</v>
      </c>
      <c r="D5" s="608">
        <f aca="true" t="shared" si="0" ref="D5:N5">$O$5/12</f>
        <v>70057478</v>
      </c>
      <c r="E5" s="608">
        <f t="shared" si="0"/>
        <v>70057478</v>
      </c>
      <c r="F5" s="608">
        <f t="shared" si="0"/>
        <v>70057478</v>
      </c>
      <c r="G5" s="608">
        <f t="shared" si="0"/>
        <v>70057478</v>
      </c>
      <c r="H5" s="608">
        <f t="shared" si="0"/>
        <v>70057478</v>
      </c>
      <c r="I5" s="608">
        <f t="shared" si="0"/>
        <v>70057478</v>
      </c>
      <c r="J5" s="608">
        <f t="shared" si="0"/>
        <v>70057478</v>
      </c>
      <c r="K5" s="608">
        <f t="shared" si="0"/>
        <v>70057478</v>
      </c>
      <c r="L5" s="608">
        <f t="shared" si="0"/>
        <v>70057478</v>
      </c>
      <c r="M5" s="608">
        <f t="shared" si="0"/>
        <v>70057478</v>
      </c>
      <c r="N5" s="608">
        <f t="shared" si="0"/>
        <v>70057478</v>
      </c>
      <c r="O5" s="609">
        <f>'9.1. sz. mell ÖNK'!C8</f>
        <v>840689736</v>
      </c>
    </row>
    <row r="6" spans="1:15" s="129" customFormat="1" ht="22.5">
      <c r="A6" s="126" t="s">
        <v>21</v>
      </c>
      <c r="B6" s="332" t="s">
        <v>426</v>
      </c>
      <c r="C6" s="127">
        <f aca="true" t="shared" si="1" ref="C6:C13">O6/12</f>
        <v>0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>
        <f>'9.1. sz. mell ÖNK'!C15</f>
        <v>0</v>
      </c>
    </row>
    <row r="7" spans="1:15" s="129" customFormat="1" ht="22.5">
      <c r="A7" s="126" t="s">
        <v>22</v>
      </c>
      <c r="B7" s="331" t="s">
        <v>427</v>
      </c>
      <c r="C7" s="127">
        <f t="shared" si="1"/>
        <v>0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28">
        <f>'9.1. sz. mell ÖNK'!C22</f>
        <v>0</v>
      </c>
    </row>
    <row r="8" spans="1:15" s="129" customFormat="1" ht="13.5" customHeight="1">
      <c r="A8" s="126" t="s">
        <v>23</v>
      </c>
      <c r="B8" s="330" t="s">
        <v>175</v>
      </c>
      <c r="C8" s="127">
        <f t="shared" si="1"/>
        <v>8045000</v>
      </c>
      <c r="D8" s="127">
        <f>$O$8/12</f>
        <v>8045000</v>
      </c>
      <c r="E8" s="127">
        <f aca="true" t="shared" si="2" ref="E8:N8">$O$8/12</f>
        <v>8045000</v>
      </c>
      <c r="F8" s="127">
        <f t="shared" si="2"/>
        <v>8045000</v>
      </c>
      <c r="G8" s="127">
        <f t="shared" si="2"/>
        <v>8045000</v>
      </c>
      <c r="H8" s="127">
        <f t="shared" si="2"/>
        <v>8045000</v>
      </c>
      <c r="I8" s="127">
        <f t="shared" si="2"/>
        <v>8045000</v>
      </c>
      <c r="J8" s="127">
        <f t="shared" si="2"/>
        <v>8045000</v>
      </c>
      <c r="K8" s="127">
        <f t="shared" si="2"/>
        <v>8045000</v>
      </c>
      <c r="L8" s="127">
        <f t="shared" si="2"/>
        <v>8045000</v>
      </c>
      <c r="M8" s="127">
        <f t="shared" si="2"/>
        <v>8045000</v>
      </c>
      <c r="N8" s="127">
        <f t="shared" si="2"/>
        <v>8045000</v>
      </c>
      <c r="O8" s="128">
        <f>'9.1. sz. mell ÖNK'!C29</f>
        <v>96540000</v>
      </c>
    </row>
    <row r="9" spans="1:15" s="129" customFormat="1" ht="13.5" customHeight="1">
      <c r="A9" s="126" t="s">
        <v>24</v>
      </c>
      <c r="B9" s="330" t="s">
        <v>428</v>
      </c>
      <c r="C9" s="127">
        <f t="shared" si="1"/>
        <v>2682416.6666666665</v>
      </c>
      <c r="D9" s="127">
        <f>$O$9/12</f>
        <v>2682416.6666666665</v>
      </c>
      <c r="E9" s="127">
        <f aca="true" t="shared" si="3" ref="E9:N9">$O$9/12</f>
        <v>2682416.6666666665</v>
      </c>
      <c r="F9" s="127">
        <f t="shared" si="3"/>
        <v>2682416.6666666665</v>
      </c>
      <c r="G9" s="127">
        <f t="shared" si="3"/>
        <v>2682416.6666666665</v>
      </c>
      <c r="H9" s="127">
        <f t="shared" si="3"/>
        <v>2682416.6666666665</v>
      </c>
      <c r="I9" s="127">
        <f t="shared" si="3"/>
        <v>2682416.6666666665</v>
      </c>
      <c r="J9" s="127">
        <f t="shared" si="3"/>
        <v>2682416.6666666665</v>
      </c>
      <c r="K9" s="127">
        <f t="shared" si="3"/>
        <v>2682416.6666666665</v>
      </c>
      <c r="L9" s="127">
        <f t="shared" si="3"/>
        <v>2682416.6666666665</v>
      </c>
      <c r="M9" s="127">
        <f t="shared" si="3"/>
        <v>2682416.6666666665</v>
      </c>
      <c r="N9" s="127">
        <f t="shared" si="3"/>
        <v>2682416.6666666665</v>
      </c>
      <c r="O9" s="128">
        <f>'9.1. sz. mell ÖNK'!C37</f>
        <v>32189000</v>
      </c>
    </row>
    <row r="10" spans="1:15" s="129" customFormat="1" ht="13.5" customHeight="1">
      <c r="A10" s="126" t="s">
        <v>25</v>
      </c>
      <c r="B10" s="330" t="s">
        <v>10</v>
      </c>
      <c r="C10" s="127">
        <f t="shared" si="1"/>
        <v>1059333.3333333333</v>
      </c>
      <c r="D10" s="127">
        <f>$O$10/12</f>
        <v>1059333.3333333333</v>
      </c>
      <c r="E10" s="127">
        <f aca="true" t="shared" si="4" ref="E10:N10">$O$10/12</f>
        <v>1059333.3333333333</v>
      </c>
      <c r="F10" s="127">
        <f t="shared" si="4"/>
        <v>1059333.3333333333</v>
      </c>
      <c r="G10" s="127">
        <f t="shared" si="4"/>
        <v>1059333.3333333333</v>
      </c>
      <c r="H10" s="127">
        <f t="shared" si="4"/>
        <v>1059333.3333333333</v>
      </c>
      <c r="I10" s="127">
        <f t="shared" si="4"/>
        <v>1059333.3333333333</v>
      </c>
      <c r="J10" s="127">
        <f t="shared" si="4"/>
        <v>1059333.3333333333</v>
      </c>
      <c r="K10" s="127">
        <f t="shared" si="4"/>
        <v>1059333.3333333333</v>
      </c>
      <c r="L10" s="127">
        <f t="shared" si="4"/>
        <v>1059333.3333333333</v>
      </c>
      <c r="M10" s="127">
        <f t="shared" si="4"/>
        <v>1059333.3333333333</v>
      </c>
      <c r="N10" s="127">
        <f t="shared" si="4"/>
        <v>1059333.3333333333</v>
      </c>
      <c r="O10" s="128">
        <f>'9.1. sz. mell ÖNK'!C49</f>
        <v>12712000</v>
      </c>
    </row>
    <row r="11" spans="1:15" s="129" customFormat="1" ht="13.5" customHeight="1">
      <c r="A11" s="126" t="s">
        <v>26</v>
      </c>
      <c r="B11" s="330" t="s">
        <v>382</v>
      </c>
      <c r="C11" s="127">
        <f t="shared" si="1"/>
        <v>0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8">
        <f>'9.1. sz. mell ÖNK'!C55</f>
        <v>0</v>
      </c>
    </row>
    <row r="12" spans="1:15" s="129" customFormat="1" ht="22.5">
      <c r="A12" s="126" t="s">
        <v>27</v>
      </c>
      <c r="B12" s="332" t="s">
        <v>414</v>
      </c>
      <c r="C12" s="130">
        <f t="shared" si="1"/>
        <v>1484166.6666666667</v>
      </c>
      <c r="D12" s="127">
        <f>$O$12/12</f>
        <v>1484166.6666666667</v>
      </c>
      <c r="E12" s="127">
        <f aca="true" t="shared" si="5" ref="E12:N12">$O$12/12</f>
        <v>1484166.6666666667</v>
      </c>
      <c r="F12" s="127">
        <f t="shared" si="5"/>
        <v>1484166.6666666667</v>
      </c>
      <c r="G12" s="127">
        <f t="shared" si="5"/>
        <v>1484166.6666666667</v>
      </c>
      <c r="H12" s="127">
        <f t="shared" si="5"/>
        <v>1484166.6666666667</v>
      </c>
      <c r="I12" s="127">
        <f t="shared" si="5"/>
        <v>1484166.6666666667</v>
      </c>
      <c r="J12" s="127">
        <f t="shared" si="5"/>
        <v>1484166.6666666667</v>
      </c>
      <c r="K12" s="127">
        <f t="shared" si="5"/>
        <v>1484166.6666666667</v>
      </c>
      <c r="L12" s="127">
        <f t="shared" si="5"/>
        <v>1484166.6666666667</v>
      </c>
      <c r="M12" s="127">
        <f t="shared" si="5"/>
        <v>1484166.6666666667</v>
      </c>
      <c r="N12" s="127">
        <f t="shared" si="5"/>
        <v>1484166.6666666667</v>
      </c>
      <c r="O12" s="128">
        <f>'9.1. sz. mell ÖNK'!C60</f>
        <v>17810000</v>
      </c>
    </row>
    <row r="13" spans="1:15" s="129" customFormat="1" ht="13.5" customHeight="1" thickBot="1">
      <c r="A13" s="611" t="s">
        <v>28</v>
      </c>
      <c r="B13" s="612" t="s">
        <v>11</v>
      </c>
      <c r="C13" s="125">
        <f t="shared" si="1"/>
        <v>7113250</v>
      </c>
      <c r="D13" s="613">
        <f>$O$13/12</f>
        <v>7113250</v>
      </c>
      <c r="E13" s="613">
        <f aca="true" t="shared" si="6" ref="E13:N13">$O$13/12</f>
        <v>7113250</v>
      </c>
      <c r="F13" s="613">
        <f t="shared" si="6"/>
        <v>7113250</v>
      </c>
      <c r="G13" s="613">
        <f t="shared" si="6"/>
        <v>7113250</v>
      </c>
      <c r="H13" s="613">
        <f t="shared" si="6"/>
        <v>7113250</v>
      </c>
      <c r="I13" s="613">
        <f t="shared" si="6"/>
        <v>7113250</v>
      </c>
      <c r="J13" s="613">
        <f t="shared" si="6"/>
        <v>7113250</v>
      </c>
      <c r="K13" s="613">
        <f t="shared" si="6"/>
        <v>7113250</v>
      </c>
      <c r="L13" s="613">
        <f t="shared" si="6"/>
        <v>7113250</v>
      </c>
      <c r="M13" s="613">
        <f t="shared" si="6"/>
        <v>7113250</v>
      </c>
      <c r="N13" s="613">
        <f t="shared" si="6"/>
        <v>7113250</v>
      </c>
      <c r="O13" s="614">
        <f>'9.1. sz. mell ÖNK'!C89</f>
        <v>85359000</v>
      </c>
    </row>
    <row r="14" spans="1:15" s="124" customFormat="1" ht="15.75" customHeight="1" thickBot="1">
      <c r="A14" s="123" t="s">
        <v>29</v>
      </c>
      <c r="B14" s="43" t="s">
        <v>112</v>
      </c>
      <c r="C14" s="132">
        <f aca="true" t="shared" si="7" ref="C14:N14">SUM(C5:C13)</f>
        <v>90441644.66666667</v>
      </c>
      <c r="D14" s="132">
        <f t="shared" si="7"/>
        <v>90441644.66666667</v>
      </c>
      <c r="E14" s="132">
        <f t="shared" si="7"/>
        <v>90441644.66666667</v>
      </c>
      <c r="F14" s="132">
        <f t="shared" si="7"/>
        <v>90441644.66666667</v>
      </c>
      <c r="G14" s="132">
        <f t="shared" si="7"/>
        <v>90441644.66666667</v>
      </c>
      <c r="H14" s="132">
        <f t="shared" si="7"/>
        <v>90441644.66666667</v>
      </c>
      <c r="I14" s="132">
        <f t="shared" si="7"/>
        <v>90441644.66666667</v>
      </c>
      <c r="J14" s="132">
        <f t="shared" si="7"/>
        <v>90441644.66666667</v>
      </c>
      <c r="K14" s="132">
        <f t="shared" si="7"/>
        <v>90441644.66666667</v>
      </c>
      <c r="L14" s="132">
        <f t="shared" si="7"/>
        <v>90441644.66666667</v>
      </c>
      <c r="M14" s="132">
        <f t="shared" si="7"/>
        <v>90441644.66666667</v>
      </c>
      <c r="N14" s="132">
        <f t="shared" si="7"/>
        <v>90441644.66666667</v>
      </c>
      <c r="O14" s="133">
        <f>SUM(C14:N14)</f>
        <v>1085299735.9999998</v>
      </c>
    </row>
    <row r="15" spans="1:15" s="124" customFormat="1" ht="15" customHeight="1" thickBot="1">
      <c r="A15" s="123" t="s">
        <v>30</v>
      </c>
      <c r="B15" s="684" t="s">
        <v>59</v>
      </c>
      <c r="C15" s="685"/>
      <c r="D15" s="685"/>
      <c r="E15" s="685"/>
      <c r="F15" s="685"/>
      <c r="G15" s="685"/>
      <c r="H15" s="685"/>
      <c r="I15" s="685"/>
      <c r="J15" s="685"/>
      <c r="K15" s="685"/>
      <c r="L15" s="685"/>
      <c r="M15" s="685"/>
      <c r="N15" s="685"/>
      <c r="O15" s="686"/>
    </row>
    <row r="16" spans="1:15" s="129" customFormat="1" ht="13.5" customHeight="1">
      <c r="A16" s="134" t="s">
        <v>31</v>
      </c>
      <c r="B16" s="333" t="s">
        <v>65</v>
      </c>
      <c r="C16" s="130">
        <f>O16/12</f>
        <v>24072250</v>
      </c>
      <c r="D16" s="130">
        <f>$O$16/12</f>
        <v>24072250</v>
      </c>
      <c r="E16" s="130">
        <f aca="true" t="shared" si="8" ref="E16:N16">$O$16/12</f>
        <v>24072250</v>
      </c>
      <c r="F16" s="130">
        <f t="shared" si="8"/>
        <v>24072250</v>
      </c>
      <c r="G16" s="130">
        <f t="shared" si="8"/>
        <v>24072250</v>
      </c>
      <c r="H16" s="130">
        <f t="shared" si="8"/>
        <v>24072250</v>
      </c>
      <c r="I16" s="130">
        <f t="shared" si="8"/>
        <v>24072250</v>
      </c>
      <c r="J16" s="130">
        <f t="shared" si="8"/>
        <v>24072250</v>
      </c>
      <c r="K16" s="130">
        <f t="shared" si="8"/>
        <v>24072250</v>
      </c>
      <c r="L16" s="130">
        <f t="shared" si="8"/>
        <v>24072250</v>
      </c>
      <c r="M16" s="130">
        <f t="shared" si="8"/>
        <v>24072250</v>
      </c>
      <c r="N16" s="130">
        <f t="shared" si="8"/>
        <v>24072250</v>
      </c>
      <c r="O16" s="609">
        <f>'9.1. sz. mell ÖNK'!C94</f>
        <v>288867000</v>
      </c>
    </row>
    <row r="17" spans="1:15" s="129" customFormat="1" ht="27" customHeight="1">
      <c r="A17" s="126" t="s">
        <v>32</v>
      </c>
      <c r="B17" s="332" t="s">
        <v>184</v>
      </c>
      <c r="C17" s="130">
        <f aca="true" t="shared" si="9" ref="C17:C24">O17/12</f>
        <v>3605583.3333333335</v>
      </c>
      <c r="D17" s="127">
        <f>$O$17/12</f>
        <v>3605583.3333333335</v>
      </c>
      <c r="E17" s="127">
        <f aca="true" t="shared" si="10" ref="E17:M17">$O$17/12</f>
        <v>3605583.3333333335</v>
      </c>
      <c r="F17" s="127">
        <f t="shared" si="10"/>
        <v>3605583.3333333335</v>
      </c>
      <c r="G17" s="127">
        <f t="shared" si="10"/>
        <v>3605583.3333333335</v>
      </c>
      <c r="H17" s="127">
        <f t="shared" si="10"/>
        <v>3605583.3333333335</v>
      </c>
      <c r="I17" s="127">
        <f t="shared" si="10"/>
        <v>3605583.3333333335</v>
      </c>
      <c r="J17" s="127">
        <f t="shared" si="10"/>
        <v>3605583.3333333335</v>
      </c>
      <c r="K17" s="127">
        <f t="shared" si="10"/>
        <v>3605583.3333333335</v>
      </c>
      <c r="L17" s="127">
        <f t="shared" si="10"/>
        <v>3605583.3333333335</v>
      </c>
      <c r="M17" s="127">
        <f t="shared" si="10"/>
        <v>3605583.3333333335</v>
      </c>
      <c r="N17" s="127">
        <f>$O$17/12</f>
        <v>3605583.3333333335</v>
      </c>
      <c r="O17" s="128">
        <f>'9.1. sz. mell ÖNK'!C95</f>
        <v>43267000</v>
      </c>
    </row>
    <row r="18" spans="1:15" s="129" customFormat="1" ht="13.5" customHeight="1">
      <c r="A18" s="126" t="s">
        <v>33</v>
      </c>
      <c r="B18" s="330" t="s">
        <v>144</v>
      </c>
      <c r="C18" s="130">
        <f t="shared" si="9"/>
        <v>11061583.333333334</v>
      </c>
      <c r="D18" s="127">
        <f>$O$18/12</f>
        <v>11061583.333333334</v>
      </c>
      <c r="E18" s="127">
        <f aca="true" t="shared" si="11" ref="E18:N18">$O$18/12</f>
        <v>11061583.333333334</v>
      </c>
      <c r="F18" s="127">
        <f t="shared" si="11"/>
        <v>11061583.333333334</v>
      </c>
      <c r="G18" s="127">
        <f t="shared" si="11"/>
        <v>11061583.333333334</v>
      </c>
      <c r="H18" s="127">
        <f t="shared" si="11"/>
        <v>11061583.333333334</v>
      </c>
      <c r="I18" s="127">
        <f t="shared" si="11"/>
        <v>11061583.333333334</v>
      </c>
      <c r="J18" s="127">
        <f t="shared" si="11"/>
        <v>11061583.333333334</v>
      </c>
      <c r="K18" s="127">
        <f t="shared" si="11"/>
        <v>11061583.333333334</v>
      </c>
      <c r="L18" s="127">
        <f t="shared" si="11"/>
        <v>11061583.333333334</v>
      </c>
      <c r="M18" s="127">
        <f t="shared" si="11"/>
        <v>11061583.333333334</v>
      </c>
      <c r="N18" s="127">
        <f t="shared" si="11"/>
        <v>11061583.333333334</v>
      </c>
      <c r="O18" s="128">
        <f>'9.1. sz. mell ÖNK'!C96</f>
        <v>132739000</v>
      </c>
    </row>
    <row r="19" spans="1:15" s="129" customFormat="1" ht="13.5" customHeight="1">
      <c r="A19" s="126" t="s">
        <v>34</v>
      </c>
      <c r="B19" s="330" t="s">
        <v>185</v>
      </c>
      <c r="C19" s="130">
        <f t="shared" si="9"/>
        <v>2999333.3333333335</v>
      </c>
      <c r="D19" s="127">
        <f>$O$19/12</f>
        <v>2999333.3333333335</v>
      </c>
      <c r="E19" s="127">
        <f aca="true" t="shared" si="12" ref="E19:N19">$O$19/12</f>
        <v>2999333.3333333335</v>
      </c>
      <c r="F19" s="127">
        <f t="shared" si="12"/>
        <v>2999333.3333333335</v>
      </c>
      <c r="G19" s="127">
        <f t="shared" si="12"/>
        <v>2999333.3333333335</v>
      </c>
      <c r="H19" s="127">
        <f t="shared" si="12"/>
        <v>2999333.3333333335</v>
      </c>
      <c r="I19" s="127">
        <f t="shared" si="12"/>
        <v>2999333.3333333335</v>
      </c>
      <c r="J19" s="127">
        <f t="shared" si="12"/>
        <v>2999333.3333333335</v>
      </c>
      <c r="K19" s="127">
        <f t="shared" si="12"/>
        <v>2999333.3333333335</v>
      </c>
      <c r="L19" s="127">
        <f t="shared" si="12"/>
        <v>2999333.3333333335</v>
      </c>
      <c r="M19" s="127">
        <f t="shared" si="12"/>
        <v>2999333.3333333335</v>
      </c>
      <c r="N19" s="127">
        <f t="shared" si="12"/>
        <v>2999333.3333333335</v>
      </c>
      <c r="O19" s="128">
        <f>'9.1. sz. mell ÖNK'!C97</f>
        <v>35992000</v>
      </c>
    </row>
    <row r="20" spans="1:15" s="129" customFormat="1" ht="13.5" customHeight="1">
      <c r="A20" s="126" t="s">
        <v>35</v>
      </c>
      <c r="B20" s="330" t="s">
        <v>12</v>
      </c>
      <c r="C20" s="130">
        <f t="shared" si="9"/>
        <v>4778333.333333333</v>
      </c>
      <c r="D20" s="127">
        <f>$O$20/12</f>
        <v>4778333.333333333</v>
      </c>
      <c r="E20" s="127">
        <f aca="true" t="shared" si="13" ref="E20:N20">$O$20/12</f>
        <v>4778333.333333333</v>
      </c>
      <c r="F20" s="127">
        <f t="shared" si="13"/>
        <v>4778333.333333333</v>
      </c>
      <c r="G20" s="127">
        <f t="shared" si="13"/>
        <v>4778333.333333333</v>
      </c>
      <c r="H20" s="127">
        <f t="shared" si="13"/>
        <v>4778333.333333333</v>
      </c>
      <c r="I20" s="127">
        <f t="shared" si="13"/>
        <v>4778333.333333333</v>
      </c>
      <c r="J20" s="127">
        <f t="shared" si="13"/>
        <v>4778333.333333333</v>
      </c>
      <c r="K20" s="127">
        <f t="shared" si="13"/>
        <v>4778333.333333333</v>
      </c>
      <c r="L20" s="127">
        <f t="shared" si="13"/>
        <v>4778333.333333333</v>
      </c>
      <c r="M20" s="127">
        <f t="shared" si="13"/>
        <v>4778333.333333333</v>
      </c>
      <c r="N20" s="127">
        <f t="shared" si="13"/>
        <v>4778333.333333333</v>
      </c>
      <c r="O20" s="131">
        <f>'9.1. sz. mell ÖNK'!C98</f>
        <v>57340000</v>
      </c>
    </row>
    <row r="21" spans="1:15" s="129" customFormat="1" ht="13.5" customHeight="1">
      <c r="A21" s="126" t="s">
        <v>36</v>
      </c>
      <c r="B21" s="330" t="s">
        <v>229</v>
      </c>
      <c r="C21" s="130">
        <f t="shared" si="9"/>
        <v>5106500</v>
      </c>
      <c r="D21" s="127">
        <f>$O$21/12</f>
        <v>5106500</v>
      </c>
      <c r="E21" s="127">
        <f aca="true" t="shared" si="14" ref="E21:N21">$O$21/12</f>
        <v>5106500</v>
      </c>
      <c r="F21" s="127">
        <f t="shared" si="14"/>
        <v>5106500</v>
      </c>
      <c r="G21" s="127">
        <f t="shared" si="14"/>
        <v>5106500</v>
      </c>
      <c r="H21" s="127">
        <f t="shared" si="14"/>
        <v>5106500</v>
      </c>
      <c r="I21" s="127">
        <f t="shared" si="14"/>
        <v>5106500</v>
      </c>
      <c r="J21" s="127">
        <f t="shared" si="14"/>
        <v>5106500</v>
      </c>
      <c r="K21" s="127">
        <f t="shared" si="14"/>
        <v>5106500</v>
      </c>
      <c r="L21" s="127">
        <f t="shared" si="14"/>
        <v>5106500</v>
      </c>
      <c r="M21" s="127">
        <f t="shared" si="14"/>
        <v>5106500</v>
      </c>
      <c r="N21" s="127">
        <f t="shared" si="14"/>
        <v>5106500</v>
      </c>
      <c r="O21" s="131">
        <f>'9.1. sz. mell ÖNK'!C115</f>
        <v>61278000</v>
      </c>
    </row>
    <row r="22" spans="1:15" s="129" customFormat="1" ht="15.75">
      <c r="A22" s="126" t="s">
        <v>37</v>
      </c>
      <c r="B22" s="332" t="s">
        <v>188</v>
      </c>
      <c r="C22" s="130">
        <f t="shared" si="9"/>
        <v>383333.3333333333</v>
      </c>
      <c r="D22" s="127">
        <f>$O$22/12</f>
        <v>383333.3333333333</v>
      </c>
      <c r="E22" s="127">
        <f aca="true" t="shared" si="15" ref="E22:N22">$O$22/12</f>
        <v>383333.3333333333</v>
      </c>
      <c r="F22" s="127">
        <f t="shared" si="15"/>
        <v>383333.3333333333</v>
      </c>
      <c r="G22" s="127">
        <f t="shared" si="15"/>
        <v>383333.3333333333</v>
      </c>
      <c r="H22" s="127">
        <f t="shared" si="15"/>
        <v>383333.3333333333</v>
      </c>
      <c r="I22" s="127">
        <f t="shared" si="15"/>
        <v>383333.3333333333</v>
      </c>
      <c r="J22" s="127">
        <f t="shared" si="15"/>
        <v>383333.3333333333</v>
      </c>
      <c r="K22" s="127">
        <f t="shared" si="15"/>
        <v>383333.3333333333</v>
      </c>
      <c r="L22" s="127">
        <f t="shared" si="15"/>
        <v>383333.3333333333</v>
      </c>
      <c r="M22" s="127">
        <f t="shared" si="15"/>
        <v>383333.3333333333</v>
      </c>
      <c r="N22" s="127">
        <f t="shared" si="15"/>
        <v>383333.3333333333</v>
      </c>
      <c r="O22" s="131">
        <f>'9.1. sz. mell ÖNK'!C117</f>
        <v>4600000</v>
      </c>
    </row>
    <row r="23" spans="1:15" s="129" customFormat="1" ht="13.5" customHeight="1">
      <c r="A23" s="126" t="s">
        <v>38</v>
      </c>
      <c r="B23" s="330" t="s">
        <v>232</v>
      </c>
      <c r="C23" s="130">
        <f t="shared" si="9"/>
        <v>0</v>
      </c>
      <c r="D23" s="127">
        <f>$O$23/12</f>
        <v>0</v>
      </c>
      <c r="E23" s="127">
        <f aca="true" t="shared" si="16" ref="E23:N23">$O$23/12</f>
        <v>0</v>
      </c>
      <c r="F23" s="127">
        <f t="shared" si="16"/>
        <v>0</v>
      </c>
      <c r="G23" s="127">
        <f t="shared" si="16"/>
        <v>0</v>
      </c>
      <c r="H23" s="127">
        <f t="shared" si="16"/>
        <v>0</v>
      </c>
      <c r="I23" s="127">
        <f t="shared" si="16"/>
        <v>0</v>
      </c>
      <c r="J23" s="127">
        <f t="shared" si="16"/>
        <v>0</v>
      </c>
      <c r="K23" s="127">
        <f t="shared" si="16"/>
        <v>0</v>
      </c>
      <c r="L23" s="127">
        <f t="shared" si="16"/>
        <v>0</v>
      </c>
      <c r="M23" s="127">
        <f t="shared" si="16"/>
        <v>0</v>
      </c>
      <c r="N23" s="127">
        <f t="shared" si="16"/>
        <v>0</v>
      </c>
      <c r="O23" s="131">
        <f>'9.1. sz. mell ÖNK'!C119</f>
        <v>0</v>
      </c>
    </row>
    <row r="24" spans="1:15" s="129" customFormat="1" ht="13.5" customHeight="1" thickBot="1">
      <c r="A24" s="126" t="s">
        <v>39</v>
      </c>
      <c r="B24" s="330" t="s">
        <v>13</v>
      </c>
      <c r="C24" s="130">
        <f t="shared" si="9"/>
        <v>38434728</v>
      </c>
      <c r="D24" s="127">
        <f>$O$24/12</f>
        <v>38434728</v>
      </c>
      <c r="E24" s="127">
        <f aca="true" t="shared" si="17" ref="E24:N24">$O$24/12</f>
        <v>38434728</v>
      </c>
      <c r="F24" s="127">
        <f t="shared" si="17"/>
        <v>38434728</v>
      </c>
      <c r="G24" s="127">
        <f t="shared" si="17"/>
        <v>38434728</v>
      </c>
      <c r="H24" s="127">
        <f t="shared" si="17"/>
        <v>38434728</v>
      </c>
      <c r="I24" s="127">
        <f t="shared" si="17"/>
        <v>38434728</v>
      </c>
      <c r="J24" s="127">
        <f t="shared" si="17"/>
        <v>38434728</v>
      </c>
      <c r="K24" s="127">
        <f t="shared" si="17"/>
        <v>38434728</v>
      </c>
      <c r="L24" s="127">
        <f t="shared" si="17"/>
        <v>38434728</v>
      </c>
      <c r="M24" s="127">
        <f t="shared" si="17"/>
        <v>38434728</v>
      </c>
      <c r="N24" s="127">
        <f t="shared" si="17"/>
        <v>38434728</v>
      </c>
      <c r="O24" s="131">
        <f>'9.1. sz. mell ÖNK'!C154</f>
        <v>461216736</v>
      </c>
    </row>
    <row r="25" spans="1:15" s="124" customFormat="1" ht="15.75" customHeight="1" thickBot="1">
      <c r="A25" s="135" t="s">
        <v>40</v>
      </c>
      <c r="B25" s="43" t="s">
        <v>113</v>
      </c>
      <c r="C25" s="132">
        <f aca="true" t="shared" si="18" ref="C25:N25">SUM(C16:C24)</f>
        <v>90441644.66666667</v>
      </c>
      <c r="D25" s="132">
        <f t="shared" si="18"/>
        <v>90441644.66666667</v>
      </c>
      <c r="E25" s="132">
        <f t="shared" si="18"/>
        <v>90441644.66666667</v>
      </c>
      <c r="F25" s="132">
        <f t="shared" si="18"/>
        <v>90441644.66666667</v>
      </c>
      <c r="G25" s="132">
        <f t="shared" si="18"/>
        <v>90441644.66666667</v>
      </c>
      <c r="H25" s="132">
        <f t="shared" si="18"/>
        <v>90441644.66666667</v>
      </c>
      <c r="I25" s="132">
        <f t="shared" si="18"/>
        <v>90441644.66666667</v>
      </c>
      <c r="J25" s="132">
        <f t="shared" si="18"/>
        <v>90441644.66666667</v>
      </c>
      <c r="K25" s="132">
        <f t="shared" si="18"/>
        <v>90441644.66666667</v>
      </c>
      <c r="L25" s="132">
        <f t="shared" si="18"/>
        <v>90441644.66666667</v>
      </c>
      <c r="M25" s="132">
        <f t="shared" si="18"/>
        <v>90441644.66666667</v>
      </c>
      <c r="N25" s="132">
        <f t="shared" si="18"/>
        <v>90441644.66666667</v>
      </c>
      <c r="O25" s="133">
        <f>SUM(C25:N25)</f>
        <v>1085299735.9999998</v>
      </c>
    </row>
    <row r="26" spans="1:15" ht="16.5" thickBot="1">
      <c r="A26" s="135" t="s">
        <v>41</v>
      </c>
      <c r="B26" s="334" t="s">
        <v>114</v>
      </c>
      <c r="C26" s="136">
        <f aca="true" t="shared" si="19" ref="C26:O26">C14-C25</f>
        <v>0</v>
      </c>
      <c r="D26" s="136">
        <f t="shared" si="19"/>
        <v>0</v>
      </c>
      <c r="E26" s="136">
        <f t="shared" si="19"/>
        <v>0</v>
      </c>
      <c r="F26" s="136">
        <f t="shared" si="19"/>
        <v>0</v>
      </c>
      <c r="G26" s="136">
        <f t="shared" si="19"/>
        <v>0</v>
      </c>
      <c r="H26" s="136">
        <f t="shared" si="19"/>
        <v>0</v>
      </c>
      <c r="I26" s="136">
        <f t="shared" si="19"/>
        <v>0</v>
      </c>
      <c r="J26" s="136">
        <f t="shared" si="19"/>
        <v>0</v>
      </c>
      <c r="K26" s="136">
        <f t="shared" si="19"/>
        <v>0</v>
      </c>
      <c r="L26" s="136">
        <f t="shared" si="19"/>
        <v>0</v>
      </c>
      <c r="M26" s="136">
        <f t="shared" si="19"/>
        <v>0</v>
      </c>
      <c r="N26" s="136">
        <f t="shared" si="19"/>
        <v>0</v>
      </c>
      <c r="O26" s="137">
        <f t="shared" si="19"/>
        <v>0</v>
      </c>
    </row>
    <row r="27" ht="15.75">
      <c r="A27" s="139"/>
    </row>
    <row r="28" spans="2:15" ht="15.75">
      <c r="B28" s="140"/>
      <c r="C28" s="141"/>
      <c r="D28" s="141"/>
      <c r="O28" s="138"/>
    </row>
    <row r="29" ht="15.75">
      <c r="O29" s="138"/>
    </row>
    <row r="30" ht="15.75">
      <c r="O30" s="138"/>
    </row>
    <row r="31" ht="15.75">
      <c r="O31" s="138"/>
    </row>
    <row r="32" ht="15.75">
      <c r="O32" s="138"/>
    </row>
    <row r="33" ht="15.75">
      <c r="O33" s="138"/>
    </row>
    <row r="34" ht="15.75">
      <c r="O34" s="138"/>
    </row>
    <row r="35" ht="15.75">
      <c r="O35" s="138"/>
    </row>
    <row r="36" ht="15.75">
      <c r="O36" s="138"/>
    </row>
    <row r="37" ht="15.75">
      <c r="O37" s="138"/>
    </row>
    <row r="38" ht="15.75">
      <c r="O38" s="138"/>
    </row>
    <row r="39" ht="15.75">
      <c r="O39" s="138"/>
    </row>
    <row r="40" ht="15.75">
      <c r="O40" s="138"/>
    </row>
    <row r="41" ht="15.75">
      <c r="O41" s="138"/>
    </row>
    <row r="42" ht="15.75">
      <c r="O42" s="138"/>
    </row>
    <row r="43" ht="15.75">
      <c r="O43" s="138"/>
    </row>
    <row r="44" ht="15.75">
      <c r="O44" s="138"/>
    </row>
    <row r="45" ht="15.75">
      <c r="O45" s="138"/>
    </row>
    <row r="46" ht="15.75">
      <c r="O46" s="138"/>
    </row>
    <row r="47" ht="15.75">
      <c r="O47" s="138"/>
    </row>
    <row r="48" ht="15.75">
      <c r="O48" s="138"/>
    </row>
    <row r="49" ht="15.75">
      <c r="O49" s="138"/>
    </row>
    <row r="50" ht="15.75">
      <c r="O50" s="138"/>
    </row>
    <row r="51" ht="15.75">
      <c r="O51" s="138"/>
    </row>
    <row r="52" ht="15.75">
      <c r="O52" s="138"/>
    </row>
    <row r="53" ht="15.75">
      <c r="O53" s="138"/>
    </row>
    <row r="54" ht="15.75">
      <c r="O54" s="138"/>
    </row>
    <row r="55" ht="15.75">
      <c r="O55" s="138"/>
    </row>
    <row r="56" ht="15.75">
      <c r="O56" s="138"/>
    </row>
    <row r="57" ht="15.75">
      <c r="O57" s="138"/>
    </row>
    <row r="58" ht="15.75">
      <c r="O58" s="138"/>
    </row>
    <row r="59" ht="15.75">
      <c r="O59" s="138"/>
    </row>
    <row r="60" ht="15.75">
      <c r="O60" s="138"/>
    </row>
    <row r="61" ht="15.75">
      <c r="O61" s="138"/>
    </row>
    <row r="62" ht="15.75">
      <c r="O62" s="138"/>
    </row>
    <row r="63" ht="15.75">
      <c r="O63" s="138"/>
    </row>
    <row r="64" ht="15.75">
      <c r="O64" s="138"/>
    </row>
    <row r="65" ht="15.75">
      <c r="O65" s="138"/>
    </row>
    <row r="66" ht="15.75">
      <c r="O66" s="138"/>
    </row>
    <row r="67" ht="15.75">
      <c r="O67" s="138"/>
    </row>
    <row r="68" ht="15.75">
      <c r="O68" s="138"/>
    </row>
    <row r="69" ht="15.75">
      <c r="O69" s="138"/>
    </row>
    <row r="70" ht="15.75">
      <c r="O70" s="138"/>
    </row>
    <row r="71" ht="15.75">
      <c r="O71" s="138"/>
    </row>
    <row r="72" ht="15.75">
      <c r="O72" s="138"/>
    </row>
    <row r="73" ht="15.75">
      <c r="O73" s="138"/>
    </row>
    <row r="74" ht="15.75">
      <c r="O74" s="138"/>
    </row>
    <row r="75" ht="15.75">
      <c r="O75" s="138"/>
    </row>
    <row r="76" ht="15.75">
      <c r="O76" s="138"/>
    </row>
    <row r="77" ht="15.75">
      <c r="O77" s="138"/>
    </row>
    <row r="78" ht="15.75">
      <c r="O78" s="138"/>
    </row>
    <row r="79" ht="15.75">
      <c r="O79" s="138"/>
    </row>
    <row r="80" ht="15.75">
      <c r="O80" s="138"/>
    </row>
    <row r="81" ht="15.75">
      <c r="O81" s="138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8" r:id="rId1"/>
  <headerFooter alignWithMargins="0">
    <oddHeader>&amp;R&amp;"Times New Roman CE,Félkövér dőlt"&amp;11 4.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SheetLayoutView="100" workbookViewId="0" topLeftCell="A55">
      <selection activeCell="C91" sqref="C91"/>
    </sheetView>
  </sheetViews>
  <sheetFormatPr defaultColWidth="9.00390625" defaultRowHeight="12.75"/>
  <cols>
    <col min="1" max="1" width="9.50390625" style="434" customWidth="1"/>
    <col min="2" max="2" width="91.625" style="434" customWidth="1"/>
    <col min="3" max="3" width="21.625" style="435" customWidth="1"/>
    <col min="4" max="4" width="9.00390625" style="468" customWidth="1"/>
    <col min="5" max="16384" width="9.375" style="468" customWidth="1"/>
  </cols>
  <sheetData>
    <row r="1" spans="1:3" ht="15.75" customHeight="1">
      <c r="A1" s="620" t="s">
        <v>16</v>
      </c>
      <c r="B1" s="620"/>
      <c r="C1" s="620"/>
    </row>
    <row r="2" spans="1:3" ht="15.75" customHeight="1" thickBot="1">
      <c r="A2" s="621" t="s">
        <v>156</v>
      </c>
      <c r="B2" s="621"/>
      <c r="C2" s="352" t="s">
        <v>585</v>
      </c>
    </row>
    <row r="3" spans="1:3" ht="37.5" customHeight="1" thickBot="1">
      <c r="A3" s="23" t="s">
        <v>72</v>
      </c>
      <c r="B3" s="24" t="s">
        <v>18</v>
      </c>
      <c r="C3" s="45" t="str">
        <f>+CONCATENATE(LEFT(ÖSSZEFÜGGÉSEK!A5,4),". évi előirányzat")</f>
        <v>2016. évi előirányzat</v>
      </c>
    </row>
    <row r="4" spans="1:3" s="469" customFormat="1" ht="12" customHeight="1" thickBot="1">
      <c r="A4" s="463"/>
      <c r="B4" s="464" t="s">
        <v>499</v>
      </c>
      <c r="C4" s="465" t="s">
        <v>500</v>
      </c>
    </row>
    <row r="5" spans="1:3" s="470" customFormat="1" ht="12" customHeight="1" thickBot="1">
      <c r="A5" s="20" t="s">
        <v>19</v>
      </c>
      <c r="B5" s="21" t="s">
        <v>255</v>
      </c>
      <c r="C5" s="342">
        <f>+C6+C7+C8+C9+C10+C11</f>
        <v>0</v>
      </c>
    </row>
    <row r="6" spans="1:3" s="470" customFormat="1" ht="12" customHeight="1">
      <c r="A6" s="15" t="s">
        <v>101</v>
      </c>
      <c r="B6" s="471" t="s">
        <v>256</v>
      </c>
      <c r="C6" s="345"/>
    </row>
    <row r="7" spans="1:3" s="470" customFormat="1" ht="12" customHeight="1">
      <c r="A7" s="14" t="s">
        <v>102</v>
      </c>
      <c r="B7" s="472" t="s">
        <v>257</v>
      </c>
      <c r="C7" s="344"/>
    </row>
    <row r="8" spans="1:3" s="470" customFormat="1" ht="12" customHeight="1">
      <c r="A8" s="14" t="s">
        <v>103</v>
      </c>
      <c r="B8" s="472" t="s">
        <v>558</v>
      </c>
      <c r="C8" s="344"/>
    </row>
    <row r="9" spans="1:3" s="470" customFormat="1" ht="12" customHeight="1">
      <c r="A9" s="14" t="s">
        <v>104</v>
      </c>
      <c r="B9" s="472" t="s">
        <v>259</v>
      </c>
      <c r="C9" s="344"/>
    </row>
    <row r="10" spans="1:3" s="470" customFormat="1" ht="12" customHeight="1">
      <c r="A10" s="14" t="s">
        <v>152</v>
      </c>
      <c r="B10" s="338" t="s">
        <v>439</v>
      </c>
      <c r="C10" s="344"/>
    </row>
    <row r="11" spans="1:3" s="470" customFormat="1" ht="12" customHeight="1" thickBot="1">
      <c r="A11" s="16" t="s">
        <v>105</v>
      </c>
      <c r="B11" s="339" t="s">
        <v>440</v>
      </c>
      <c r="C11" s="344"/>
    </row>
    <row r="12" spans="1:3" s="470" customFormat="1" ht="12" customHeight="1" thickBot="1">
      <c r="A12" s="20" t="s">
        <v>20</v>
      </c>
      <c r="B12" s="337" t="s">
        <v>260</v>
      </c>
      <c r="C12" s="342">
        <f>+C13+C14+C15+C16+C17</f>
        <v>0</v>
      </c>
    </row>
    <row r="13" spans="1:3" s="470" customFormat="1" ht="12" customHeight="1">
      <c r="A13" s="15" t="s">
        <v>107</v>
      </c>
      <c r="B13" s="471" t="s">
        <v>261</v>
      </c>
      <c r="C13" s="345"/>
    </row>
    <row r="14" spans="1:3" s="470" customFormat="1" ht="12" customHeight="1">
      <c r="A14" s="14" t="s">
        <v>108</v>
      </c>
      <c r="B14" s="472" t="s">
        <v>262</v>
      </c>
      <c r="C14" s="344"/>
    </row>
    <row r="15" spans="1:3" s="470" customFormat="1" ht="12" customHeight="1">
      <c r="A15" s="14" t="s">
        <v>109</v>
      </c>
      <c r="B15" s="472" t="s">
        <v>429</v>
      </c>
      <c r="C15" s="344"/>
    </row>
    <row r="16" spans="1:3" s="470" customFormat="1" ht="12" customHeight="1">
      <c r="A16" s="14" t="s">
        <v>110</v>
      </c>
      <c r="B16" s="472" t="s">
        <v>430</v>
      </c>
      <c r="C16" s="344"/>
    </row>
    <row r="17" spans="1:3" s="470" customFormat="1" ht="12" customHeight="1">
      <c r="A17" s="14" t="s">
        <v>111</v>
      </c>
      <c r="B17" s="472" t="s">
        <v>263</v>
      </c>
      <c r="C17" s="344"/>
    </row>
    <row r="18" spans="1:3" s="470" customFormat="1" ht="12" customHeight="1" thickBot="1">
      <c r="A18" s="16" t="s">
        <v>120</v>
      </c>
      <c r="B18" s="339" t="s">
        <v>264</v>
      </c>
      <c r="C18" s="346"/>
    </row>
    <row r="19" spans="1:3" s="470" customFormat="1" ht="12" customHeight="1" thickBot="1">
      <c r="A19" s="20" t="s">
        <v>21</v>
      </c>
      <c r="B19" s="21" t="s">
        <v>265</v>
      </c>
      <c r="C19" s="342">
        <f>+C20+C21+C22+C23+C24</f>
        <v>0</v>
      </c>
    </row>
    <row r="20" spans="1:3" s="470" customFormat="1" ht="12" customHeight="1">
      <c r="A20" s="15" t="s">
        <v>90</v>
      </c>
      <c r="B20" s="471" t="s">
        <v>266</v>
      </c>
      <c r="C20" s="345"/>
    </row>
    <row r="21" spans="1:3" s="470" customFormat="1" ht="12" customHeight="1">
      <c r="A21" s="14" t="s">
        <v>91</v>
      </c>
      <c r="B21" s="472" t="s">
        <v>267</v>
      </c>
      <c r="C21" s="344"/>
    </row>
    <row r="22" spans="1:3" s="470" customFormat="1" ht="12" customHeight="1">
      <c r="A22" s="14" t="s">
        <v>92</v>
      </c>
      <c r="B22" s="472" t="s">
        <v>431</v>
      </c>
      <c r="C22" s="344"/>
    </row>
    <row r="23" spans="1:3" s="470" customFormat="1" ht="12" customHeight="1">
      <c r="A23" s="14" t="s">
        <v>93</v>
      </c>
      <c r="B23" s="472" t="s">
        <v>432</v>
      </c>
      <c r="C23" s="344"/>
    </row>
    <row r="24" spans="1:3" s="470" customFormat="1" ht="12" customHeight="1">
      <c r="A24" s="14" t="s">
        <v>172</v>
      </c>
      <c r="B24" s="472" t="s">
        <v>268</v>
      </c>
      <c r="C24" s="344"/>
    </row>
    <row r="25" spans="1:3" s="470" customFormat="1" ht="12" customHeight="1" thickBot="1">
      <c r="A25" s="16" t="s">
        <v>173</v>
      </c>
      <c r="B25" s="473" t="s">
        <v>269</v>
      </c>
      <c r="C25" s="346"/>
    </row>
    <row r="26" spans="1:3" s="470" customFormat="1" ht="12" customHeight="1" thickBot="1">
      <c r="A26" s="20" t="s">
        <v>174</v>
      </c>
      <c r="B26" s="21" t="s">
        <v>559</v>
      </c>
      <c r="C26" s="348">
        <f>SUM(C27:C33)</f>
        <v>12500000</v>
      </c>
    </row>
    <row r="27" spans="1:3" s="470" customFormat="1" ht="12" customHeight="1">
      <c r="A27" s="15" t="s">
        <v>271</v>
      </c>
      <c r="B27" s="471" t="s">
        <v>563</v>
      </c>
      <c r="C27" s="345"/>
    </row>
    <row r="28" spans="1:3" s="470" customFormat="1" ht="12" customHeight="1">
      <c r="A28" s="14" t="s">
        <v>272</v>
      </c>
      <c r="B28" s="472" t="s">
        <v>564</v>
      </c>
      <c r="C28" s="344"/>
    </row>
    <row r="29" spans="1:3" s="470" customFormat="1" ht="12" customHeight="1">
      <c r="A29" s="14" t="s">
        <v>273</v>
      </c>
      <c r="B29" s="472" t="s">
        <v>565</v>
      </c>
      <c r="C29" s="344">
        <f>'9.1.2. sz. mell ÖNK'!C32</f>
        <v>12500000</v>
      </c>
    </row>
    <row r="30" spans="1:3" s="470" customFormat="1" ht="12" customHeight="1">
      <c r="A30" s="14" t="s">
        <v>274</v>
      </c>
      <c r="B30" s="472" t="s">
        <v>566</v>
      </c>
      <c r="C30" s="344"/>
    </row>
    <row r="31" spans="1:3" s="470" customFormat="1" ht="12" customHeight="1">
      <c r="A31" s="14" t="s">
        <v>560</v>
      </c>
      <c r="B31" s="472" t="s">
        <v>275</v>
      </c>
      <c r="C31" s="344"/>
    </row>
    <row r="32" spans="1:3" s="470" customFormat="1" ht="12" customHeight="1">
      <c r="A32" s="14" t="s">
        <v>561</v>
      </c>
      <c r="B32" s="472" t="s">
        <v>276</v>
      </c>
      <c r="C32" s="344"/>
    </row>
    <row r="33" spans="1:3" s="470" customFormat="1" ht="12" customHeight="1" thickBot="1">
      <c r="A33" s="16" t="s">
        <v>562</v>
      </c>
      <c r="B33" s="578" t="s">
        <v>277</v>
      </c>
      <c r="C33" s="346"/>
    </row>
    <row r="34" spans="1:3" s="470" customFormat="1" ht="12" customHeight="1" thickBot="1">
      <c r="A34" s="20" t="s">
        <v>23</v>
      </c>
      <c r="B34" s="21" t="s">
        <v>441</v>
      </c>
      <c r="C34" s="342">
        <f>SUM(C35:C45)</f>
        <v>35645000</v>
      </c>
    </row>
    <row r="35" spans="1:3" s="470" customFormat="1" ht="12" customHeight="1">
      <c r="A35" s="15" t="s">
        <v>94</v>
      </c>
      <c r="B35" s="471" t="s">
        <v>280</v>
      </c>
      <c r="C35" s="345">
        <f>'9.3.2. sz. mell GAM'!C9+'9.4.2. sz. mell ILMKS'!C9</f>
        <v>709000</v>
      </c>
    </row>
    <row r="36" spans="1:3" s="470" customFormat="1" ht="12" customHeight="1">
      <c r="A36" s="14" t="s">
        <v>95</v>
      </c>
      <c r="B36" s="472" t="s">
        <v>281</v>
      </c>
      <c r="C36" s="345">
        <f>'9.3.2. sz. mell GAM'!C10+'9.4.2. sz. mell ILMKS'!C10</f>
        <v>27358000</v>
      </c>
    </row>
    <row r="37" spans="1:3" s="470" customFormat="1" ht="12" customHeight="1">
      <c r="A37" s="14" t="s">
        <v>96</v>
      </c>
      <c r="B37" s="472" t="s">
        <v>282</v>
      </c>
      <c r="C37" s="345">
        <f>'9.3.2. sz. mell GAM'!C11+'9.4.2. sz. mell ILMKS'!C11</f>
        <v>0</v>
      </c>
    </row>
    <row r="38" spans="1:3" s="470" customFormat="1" ht="12" customHeight="1">
      <c r="A38" s="14" t="s">
        <v>176</v>
      </c>
      <c r="B38" s="472" t="s">
        <v>283</v>
      </c>
      <c r="C38" s="345">
        <f>'9.3.2. sz. mell GAM'!C12+'9.4.2. sz. mell ILMKS'!C12</f>
        <v>0</v>
      </c>
    </row>
    <row r="39" spans="1:3" s="470" customFormat="1" ht="12" customHeight="1">
      <c r="A39" s="14" t="s">
        <v>177</v>
      </c>
      <c r="B39" s="472" t="s">
        <v>284</v>
      </c>
      <c r="C39" s="345">
        <f>'9.3.2. sz. mell GAM'!C13+'9.4.2. sz. mell ILMKS'!C13</f>
        <v>0</v>
      </c>
    </row>
    <row r="40" spans="1:3" s="470" customFormat="1" ht="12" customHeight="1">
      <c r="A40" s="14" t="s">
        <v>178</v>
      </c>
      <c r="B40" s="472" t="s">
        <v>285</v>
      </c>
      <c r="C40" s="345">
        <f>'9.3.2. sz. mell GAM'!C14+'9.4.2. sz. mell ILMKS'!C14</f>
        <v>7578000</v>
      </c>
    </row>
    <row r="41" spans="1:3" s="470" customFormat="1" ht="12" customHeight="1">
      <c r="A41" s="14" t="s">
        <v>179</v>
      </c>
      <c r="B41" s="472" t="s">
        <v>286</v>
      </c>
      <c r="C41" s="344"/>
    </row>
    <row r="42" spans="1:3" s="470" customFormat="1" ht="12" customHeight="1">
      <c r="A42" s="14" t="s">
        <v>180</v>
      </c>
      <c r="B42" s="472" t="s">
        <v>568</v>
      </c>
      <c r="C42" s="344"/>
    </row>
    <row r="43" spans="1:3" s="470" customFormat="1" ht="12" customHeight="1">
      <c r="A43" s="14" t="s">
        <v>278</v>
      </c>
      <c r="B43" s="472" t="s">
        <v>288</v>
      </c>
      <c r="C43" s="347"/>
    </row>
    <row r="44" spans="1:3" s="470" customFormat="1" ht="12" customHeight="1">
      <c r="A44" s="16" t="s">
        <v>279</v>
      </c>
      <c r="B44" s="473" t="s">
        <v>443</v>
      </c>
      <c r="C44" s="457"/>
    </row>
    <row r="45" spans="1:3" s="470" customFormat="1" ht="12" customHeight="1" thickBot="1">
      <c r="A45" s="16" t="s">
        <v>442</v>
      </c>
      <c r="B45" s="339" t="s">
        <v>289</v>
      </c>
      <c r="C45" s="457"/>
    </row>
    <row r="46" spans="1:3" s="470" customFormat="1" ht="12" customHeight="1" thickBot="1">
      <c r="A46" s="20" t="s">
        <v>24</v>
      </c>
      <c r="B46" s="21" t="s">
        <v>290</v>
      </c>
      <c r="C46" s="342">
        <f>SUM(C47:C51)</f>
        <v>0</v>
      </c>
    </row>
    <row r="47" spans="1:3" s="470" customFormat="1" ht="12" customHeight="1">
      <c r="A47" s="15" t="s">
        <v>97</v>
      </c>
      <c r="B47" s="471" t="s">
        <v>294</v>
      </c>
      <c r="C47" s="516"/>
    </row>
    <row r="48" spans="1:3" s="470" customFormat="1" ht="12" customHeight="1">
      <c r="A48" s="14" t="s">
        <v>98</v>
      </c>
      <c r="B48" s="472" t="s">
        <v>295</v>
      </c>
      <c r="C48" s="347"/>
    </row>
    <row r="49" spans="1:3" s="470" customFormat="1" ht="12" customHeight="1">
      <c r="A49" s="14" t="s">
        <v>291</v>
      </c>
      <c r="B49" s="472" t="s">
        <v>296</v>
      </c>
      <c r="C49" s="347"/>
    </row>
    <row r="50" spans="1:3" s="470" customFormat="1" ht="12" customHeight="1">
      <c r="A50" s="14" t="s">
        <v>292</v>
      </c>
      <c r="B50" s="472" t="s">
        <v>297</v>
      </c>
      <c r="C50" s="347"/>
    </row>
    <row r="51" spans="1:3" s="470" customFormat="1" ht="12" customHeight="1" thickBot="1">
      <c r="A51" s="16" t="s">
        <v>293</v>
      </c>
      <c r="B51" s="339" t="s">
        <v>298</v>
      </c>
      <c r="C51" s="457"/>
    </row>
    <row r="52" spans="1:3" s="470" customFormat="1" ht="12" customHeight="1" thickBot="1">
      <c r="A52" s="20" t="s">
        <v>181</v>
      </c>
      <c r="B52" s="21" t="s">
        <v>299</v>
      </c>
      <c r="C52" s="342">
        <f>SUM(C53:C55)</f>
        <v>0</v>
      </c>
    </row>
    <row r="53" spans="1:3" s="470" customFormat="1" ht="12" customHeight="1">
      <c r="A53" s="15" t="s">
        <v>99</v>
      </c>
      <c r="B53" s="471" t="s">
        <v>300</v>
      </c>
      <c r="C53" s="345"/>
    </row>
    <row r="54" spans="1:3" s="470" customFormat="1" ht="12" customHeight="1">
      <c r="A54" s="14" t="s">
        <v>100</v>
      </c>
      <c r="B54" s="472" t="s">
        <v>433</v>
      </c>
      <c r="C54" s="344"/>
    </row>
    <row r="55" spans="1:3" s="470" customFormat="1" ht="12" customHeight="1">
      <c r="A55" s="14" t="s">
        <v>303</v>
      </c>
      <c r="B55" s="472" t="s">
        <v>301</v>
      </c>
      <c r="C55" s="344"/>
    </row>
    <row r="56" spans="1:3" s="470" customFormat="1" ht="12" customHeight="1" thickBot="1">
      <c r="A56" s="16" t="s">
        <v>304</v>
      </c>
      <c r="B56" s="339" t="s">
        <v>302</v>
      </c>
      <c r="C56" s="346"/>
    </row>
    <row r="57" spans="1:3" s="470" customFormat="1" ht="12" customHeight="1" thickBot="1">
      <c r="A57" s="20" t="s">
        <v>26</v>
      </c>
      <c r="B57" s="337" t="s">
        <v>305</v>
      </c>
      <c r="C57" s="342">
        <f>SUM(C58:C60)</f>
        <v>0</v>
      </c>
    </row>
    <row r="58" spans="1:3" s="470" customFormat="1" ht="12" customHeight="1">
      <c r="A58" s="15" t="s">
        <v>182</v>
      </c>
      <c r="B58" s="471" t="s">
        <v>307</v>
      </c>
      <c r="C58" s="347"/>
    </row>
    <row r="59" spans="1:3" s="470" customFormat="1" ht="12" customHeight="1">
      <c r="A59" s="14" t="s">
        <v>183</v>
      </c>
      <c r="B59" s="472" t="s">
        <v>434</v>
      </c>
      <c r="C59" s="347"/>
    </row>
    <row r="60" spans="1:3" s="470" customFormat="1" ht="12" customHeight="1">
      <c r="A60" s="14" t="s">
        <v>231</v>
      </c>
      <c r="B60" s="472" t="s">
        <v>308</v>
      </c>
      <c r="C60" s="347"/>
    </row>
    <row r="61" spans="1:3" s="470" customFormat="1" ht="12" customHeight="1" thickBot="1">
      <c r="A61" s="16" t="s">
        <v>306</v>
      </c>
      <c r="B61" s="339" t="s">
        <v>309</v>
      </c>
      <c r="C61" s="347"/>
    </row>
    <row r="62" spans="1:3" s="470" customFormat="1" ht="12" customHeight="1" thickBot="1">
      <c r="A62" s="550" t="s">
        <v>483</v>
      </c>
      <c r="B62" s="21" t="s">
        <v>310</v>
      </c>
      <c r="C62" s="348">
        <f>+C5+C12+C19+C26+C34+C46+C52+C57</f>
        <v>48145000</v>
      </c>
    </row>
    <row r="63" spans="1:3" s="470" customFormat="1" ht="12" customHeight="1" thickBot="1">
      <c r="A63" s="519" t="s">
        <v>311</v>
      </c>
      <c r="B63" s="337" t="s">
        <v>312</v>
      </c>
      <c r="C63" s="342">
        <f>SUM(C64:C66)</f>
        <v>0</v>
      </c>
    </row>
    <row r="64" spans="1:3" s="470" customFormat="1" ht="12" customHeight="1">
      <c r="A64" s="15" t="s">
        <v>343</v>
      </c>
      <c r="B64" s="471" t="s">
        <v>313</v>
      </c>
      <c r="C64" s="347"/>
    </row>
    <row r="65" spans="1:3" s="470" customFormat="1" ht="12" customHeight="1">
      <c r="A65" s="14" t="s">
        <v>352</v>
      </c>
      <c r="B65" s="472" t="s">
        <v>314</v>
      </c>
      <c r="C65" s="347"/>
    </row>
    <row r="66" spans="1:3" s="470" customFormat="1" ht="12" customHeight="1" thickBot="1">
      <c r="A66" s="16" t="s">
        <v>353</v>
      </c>
      <c r="B66" s="544" t="s">
        <v>468</v>
      </c>
      <c r="C66" s="347"/>
    </row>
    <row r="67" spans="1:3" s="470" customFormat="1" ht="12" customHeight="1" thickBot="1">
      <c r="A67" s="519" t="s">
        <v>316</v>
      </c>
      <c r="B67" s="337" t="s">
        <v>317</v>
      </c>
      <c r="C67" s="342">
        <f>SUM(C68:C71)</f>
        <v>0</v>
      </c>
    </row>
    <row r="68" spans="1:3" s="470" customFormat="1" ht="12" customHeight="1">
      <c r="A68" s="15" t="s">
        <v>153</v>
      </c>
      <c r="B68" s="471" t="s">
        <v>318</v>
      </c>
      <c r="C68" s="347"/>
    </row>
    <row r="69" spans="1:3" s="470" customFormat="1" ht="12" customHeight="1">
      <c r="A69" s="14" t="s">
        <v>154</v>
      </c>
      <c r="B69" s="472" t="s">
        <v>319</v>
      </c>
      <c r="C69" s="347"/>
    </row>
    <row r="70" spans="1:3" s="470" customFormat="1" ht="12" customHeight="1">
      <c r="A70" s="14" t="s">
        <v>344</v>
      </c>
      <c r="B70" s="472" t="s">
        <v>320</v>
      </c>
      <c r="C70" s="347"/>
    </row>
    <row r="71" spans="1:3" s="470" customFormat="1" ht="12" customHeight="1" thickBot="1">
      <c r="A71" s="16" t="s">
        <v>345</v>
      </c>
      <c r="B71" s="339" t="s">
        <v>321</v>
      </c>
      <c r="C71" s="347"/>
    </row>
    <row r="72" spans="1:3" s="470" customFormat="1" ht="12" customHeight="1" thickBot="1">
      <c r="A72" s="519" t="s">
        <v>322</v>
      </c>
      <c r="B72" s="337" t="s">
        <v>323</v>
      </c>
      <c r="C72" s="342">
        <f>SUM(C73:C74)</f>
        <v>0</v>
      </c>
    </row>
    <row r="73" spans="1:3" s="470" customFormat="1" ht="12" customHeight="1">
      <c r="A73" s="15" t="s">
        <v>346</v>
      </c>
      <c r="B73" s="471" t="s">
        <v>324</v>
      </c>
      <c r="C73" s="347"/>
    </row>
    <row r="74" spans="1:3" s="470" customFormat="1" ht="12" customHeight="1" thickBot="1">
      <c r="A74" s="16" t="s">
        <v>347</v>
      </c>
      <c r="B74" s="339" t="s">
        <v>325</v>
      </c>
      <c r="C74" s="347"/>
    </row>
    <row r="75" spans="1:3" s="470" customFormat="1" ht="12" customHeight="1" thickBot="1">
      <c r="A75" s="519" t="s">
        <v>326</v>
      </c>
      <c r="B75" s="337" t="s">
        <v>327</v>
      </c>
      <c r="C75" s="342">
        <f>SUM(C76:C78)</f>
        <v>0</v>
      </c>
    </row>
    <row r="76" spans="1:3" s="470" customFormat="1" ht="12" customHeight="1">
      <c r="A76" s="15" t="s">
        <v>348</v>
      </c>
      <c r="B76" s="471" t="s">
        <v>328</v>
      </c>
      <c r="C76" s="347"/>
    </row>
    <row r="77" spans="1:3" s="470" customFormat="1" ht="12" customHeight="1">
      <c r="A77" s="14" t="s">
        <v>349</v>
      </c>
      <c r="B77" s="472" t="s">
        <v>329</v>
      </c>
      <c r="C77" s="347"/>
    </row>
    <row r="78" spans="1:3" s="470" customFormat="1" ht="12" customHeight="1" thickBot="1">
      <c r="A78" s="16" t="s">
        <v>350</v>
      </c>
      <c r="B78" s="339" t="s">
        <v>330</v>
      </c>
      <c r="C78" s="347"/>
    </row>
    <row r="79" spans="1:3" s="470" customFormat="1" ht="12" customHeight="1" thickBot="1">
      <c r="A79" s="519" t="s">
        <v>331</v>
      </c>
      <c r="B79" s="337" t="s">
        <v>351</v>
      </c>
      <c r="C79" s="342">
        <f>SUM(C80:C83)</f>
        <v>0</v>
      </c>
    </row>
    <row r="80" spans="1:3" s="470" customFormat="1" ht="12" customHeight="1">
      <c r="A80" s="475" t="s">
        <v>332</v>
      </c>
      <c r="B80" s="471" t="s">
        <v>333</v>
      </c>
      <c r="C80" s="347"/>
    </row>
    <row r="81" spans="1:3" s="470" customFormat="1" ht="12" customHeight="1">
      <c r="A81" s="476" t="s">
        <v>334</v>
      </c>
      <c r="B81" s="472" t="s">
        <v>335</v>
      </c>
      <c r="C81" s="347"/>
    </row>
    <row r="82" spans="1:3" s="470" customFormat="1" ht="12" customHeight="1">
      <c r="A82" s="476" t="s">
        <v>336</v>
      </c>
      <c r="B82" s="472" t="s">
        <v>337</v>
      </c>
      <c r="C82" s="347"/>
    </row>
    <row r="83" spans="1:3" s="470" customFormat="1" ht="12" customHeight="1" thickBot="1">
      <c r="A83" s="477" t="s">
        <v>338</v>
      </c>
      <c r="B83" s="339" t="s">
        <v>339</v>
      </c>
      <c r="C83" s="347"/>
    </row>
    <row r="84" spans="1:3" s="470" customFormat="1" ht="12" customHeight="1" thickBot="1">
      <c r="A84" s="519" t="s">
        <v>340</v>
      </c>
      <c r="B84" s="337" t="s">
        <v>482</v>
      </c>
      <c r="C84" s="517"/>
    </row>
    <row r="85" spans="1:3" s="470" customFormat="1" ht="13.5" customHeight="1" thickBot="1">
      <c r="A85" s="519" t="s">
        <v>342</v>
      </c>
      <c r="B85" s="337" t="s">
        <v>341</v>
      </c>
      <c r="C85" s="517"/>
    </row>
    <row r="86" spans="1:3" s="470" customFormat="1" ht="15.75" customHeight="1" thickBot="1">
      <c r="A86" s="519" t="s">
        <v>354</v>
      </c>
      <c r="B86" s="478" t="s">
        <v>485</v>
      </c>
      <c r="C86" s="348">
        <f>+C63+C67+C72+C75+C79+C85+C84</f>
        <v>0</v>
      </c>
    </row>
    <row r="87" spans="1:3" s="470" customFormat="1" ht="16.5" customHeight="1" thickBot="1">
      <c r="A87" s="520" t="s">
        <v>484</v>
      </c>
      <c r="B87" s="479" t="s">
        <v>486</v>
      </c>
      <c r="C87" s="348">
        <f>+C62+C86</f>
        <v>48145000</v>
      </c>
    </row>
    <row r="88" spans="1:3" s="470" customFormat="1" ht="34.5" customHeight="1">
      <c r="A88" s="5"/>
      <c r="B88" s="6"/>
      <c r="C88" s="349"/>
    </row>
    <row r="89" spans="1:3" ht="16.5" customHeight="1">
      <c r="A89" s="620" t="s">
        <v>48</v>
      </c>
      <c r="B89" s="620"/>
      <c r="C89" s="620"/>
    </row>
    <row r="90" spans="1:3" s="480" customFormat="1" ht="16.5" customHeight="1" thickBot="1">
      <c r="A90" s="622" t="s">
        <v>157</v>
      </c>
      <c r="B90" s="622"/>
      <c r="C90" s="167" t="s">
        <v>585</v>
      </c>
    </row>
    <row r="91" spans="1:3" ht="37.5" customHeight="1" thickBot="1">
      <c r="A91" s="23" t="s">
        <v>72</v>
      </c>
      <c r="B91" s="24" t="s">
        <v>49</v>
      </c>
      <c r="C91" s="45" t="str">
        <f>+C3</f>
        <v>2016. évi előirányzat</v>
      </c>
    </row>
    <row r="92" spans="1:3" s="469" customFormat="1" ht="12" customHeight="1" thickBot="1">
      <c r="A92" s="37"/>
      <c r="B92" s="38" t="s">
        <v>499</v>
      </c>
      <c r="C92" s="39" t="s">
        <v>500</v>
      </c>
    </row>
    <row r="93" spans="1:3" ht="12" customHeight="1" thickBot="1">
      <c r="A93" s="22" t="s">
        <v>19</v>
      </c>
      <c r="B93" s="31" t="s">
        <v>444</v>
      </c>
      <c r="C93" s="341">
        <f>C94+C95+C96+C97+C98+C111</f>
        <v>57965000</v>
      </c>
    </row>
    <row r="94" spans="1:3" ht="12" customHeight="1">
      <c r="A94" s="17" t="s">
        <v>101</v>
      </c>
      <c r="B94" s="10" t="s">
        <v>50</v>
      </c>
      <c r="C94" s="343">
        <f>'9.1.2. sz. mell ÖNK'!C94+'9.3.2. sz. mell GAM'!C46+'9.4.2. sz. mell ILMKS'!C46</f>
        <v>11352000</v>
      </c>
    </row>
    <row r="95" spans="1:3" ht="12" customHeight="1">
      <c r="A95" s="14" t="s">
        <v>102</v>
      </c>
      <c r="B95" s="8" t="s">
        <v>184</v>
      </c>
      <c r="C95" s="344">
        <f>'9.1.2. sz. mell ÖNK'!C95+'9.3.2. sz. mell GAM'!C47+'9.4.2. sz. mell ILMKS'!C47</f>
        <v>3065000</v>
      </c>
    </row>
    <row r="96" spans="1:3" ht="12" customHeight="1">
      <c r="A96" s="14" t="s">
        <v>103</v>
      </c>
      <c r="B96" s="8" t="s">
        <v>144</v>
      </c>
      <c r="C96" s="344">
        <f>'9.1.2. sz. mell ÖNK'!C96+'9.3.2. sz. mell GAM'!C48+'9.4.2. sz. mell ILMKS'!C48</f>
        <v>31048000</v>
      </c>
    </row>
    <row r="97" spans="1:3" ht="12" customHeight="1">
      <c r="A97" s="14" t="s">
        <v>104</v>
      </c>
      <c r="B97" s="11" t="s">
        <v>185</v>
      </c>
      <c r="C97" s="344">
        <f>'9.1.2. sz. mell ÖNK'!C97+'9.3.2. sz. mell GAM'!C49+'9.4.2. sz. mell ILMKS'!C49</f>
        <v>0</v>
      </c>
    </row>
    <row r="98" spans="1:3" ht="12" customHeight="1">
      <c r="A98" s="14" t="s">
        <v>115</v>
      </c>
      <c r="B98" s="19" t="s">
        <v>186</v>
      </c>
      <c r="C98" s="345">
        <f>'9.1.2. sz. mell ÖNK'!C98+'9.3.2. sz. mell GAM'!C50+'9.4.2. sz. mell ILMKS'!C50</f>
        <v>12500000</v>
      </c>
    </row>
    <row r="99" spans="1:3" ht="12" customHeight="1">
      <c r="A99" s="14" t="s">
        <v>105</v>
      </c>
      <c r="B99" s="8" t="s">
        <v>449</v>
      </c>
      <c r="C99" s="346"/>
    </row>
    <row r="100" spans="1:3" ht="12" customHeight="1">
      <c r="A100" s="14" t="s">
        <v>106</v>
      </c>
      <c r="B100" s="172" t="s">
        <v>448</v>
      </c>
      <c r="C100" s="346"/>
    </row>
    <row r="101" spans="1:3" ht="12" customHeight="1">
      <c r="A101" s="14" t="s">
        <v>116</v>
      </c>
      <c r="B101" s="172" t="s">
        <v>447</v>
      </c>
      <c r="C101" s="346"/>
    </row>
    <row r="102" spans="1:3" ht="12" customHeight="1">
      <c r="A102" s="14" t="s">
        <v>117</v>
      </c>
      <c r="B102" s="170" t="s">
        <v>357</v>
      </c>
      <c r="C102" s="346"/>
    </row>
    <row r="103" spans="1:3" ht="12" customHeight="1">
      <c r="A103" s="14" t="s">
        <v>118</v>
      </c>
      <c r="B103" s="171" t="s">
        <v>358</v>
      </c>
      <c r="C103" s="346"/>
    </row>
    <row r="104" spans="1:3" ht="12" customHeight="1">
      <c r="A104" s="14" t="s">
        <v>119</v>
      </c>
      <c r="B104" s="171" t="s">
        <v>359</v>
      </c>
      <c r="C104" s="346"/>
    </row>
    <row r="105" spans="1:3" ht="12" customHeight="1">
      <c r="A105" s="14" t="s">
        <v>121</v>
      </c>
      <c r="B105" s="170" t="s">
        <v>360</v>
      </c>
      <c r="C105" s="346"/>
    </row>
    <row r="106" spans="1:3" ht="12" customHeight="1">
      <c r="A106" s="14" t="s">
        <v>187</v>
      </c>
      <c r="B106" s="170" t="s">
        <v>361</v>
      </c>
      <c r="C106" s="346"/>
    </row>
    <row r="107" spans="1:3" ht="12" customHeight="1">
      <c r="A107" s="14" t="s">
        <v>355</v>
      </c>
      <c r="B107" s="171" t="s">
        <v>362</v>
      </c>
      <c r="C107" s="346"/>
    </row>
    <row r="108" spans="1:3" ht="12" customHeight="1">
      <c r="A108" s="13" t="s">
        <v>356</v>
      </c>
      <c r="B108" s="172" t="s">
        <v>363</v>
      </c>
      <c r="C108" s="346"/>
    </row>
    <row r="109" spans="1:3" ht="12" customHeight="1">
      <c r="A109" s="14" t="s">
        <v>445</v>
      </c>
      <c r="B109" s="172" t="s">
        <v>364</v>
      </c>
      <c r="C109" s="346"/>
    </row>
    <row r="110" spans="1:3" ht="12" customHeight="1">
      <c r="A110" s="16" t="s">
        <v>446</v>
      </c>
      <c r="B110" s="172" t="s">
        <v>365</v>
      </c>
      <c r="C110" s="346">
        <f>'9.1.2. sz. mell ÖNK'!C110</f>
        <v>12500000</v>
      </c>
    </row>
    <row r="111" spans="1:3" ht="12" customHeight="1">
      <c r="A111" s="14" t="s">
        <v>450</v>
      </c>
      <c r="B111" s="11" t="s">
        <v>51</v>
      </c>
      <c r="C111" s="344"/>
    </row>
    <row r="112" spans="1:3" ht="12" customHeight="1">
      <c r="A112" s="14" t="s">
        <v>451</v>
      </c>
      <c r="B112" s="8" t="s">
        <v>453</v>
      </c>
      <c r="C112" s="344"/>
    </row>
    <row r="113" spans="1:3" ht="12" customHeight="1" thickBot="1">
      <c r="A113" s="18" t="s">
        <v>452</v>
      </c>
      <c r="B113" s="548" t="s">
        <v>454</v>
      </c>
      <c r="C113" s="350"/>
    </row>
    <row r="114" spans="1:3" ht="12" customHeight="1" thickBot="1">
      <c r="A114" s="545" t="s">
        <v>20</v>
      </c>
      <c r="B114" s="546" t="s">
        <v>366</v>
      </c>
      <c r="C114" s="547">
        <f>+C115+C117+C119</f>
        <v>0</v>
      </c>
    </row>
    <row r="115" spans="1:3" ht="12" customHeight="1">
      <c r="A115" s="15" t="s">
        <v>107</v>
      </c>
      <c r="B115" s="8" t="s">
        <v>229</v>
      </c>
      <c r="C115" s="345"/>
    </row>
    <row r="116" spans="1:3" ht="12" customHeight="1">
      <c r="A116" s="15" t="s">
        <v>108</v>
      </c>
      <c r="B116" s="12" t="s">
        <v>370</v>
      </c>
      <c r="C116" s="345"/>
    </row>
    <row r="117" spans="1:3" ht="12" customHeight="1">
      <c r="A117" s="15" t="s">
        <v>109</v>
      </c>
      <c r="B117" s="12" t="s">
        <v>188</v>
      </c>
      <c r="C117" s="344"/>
    </row>
    <row r="118" spans="1:3" ht="12" customHeight="1">
      <c r="A118" s="15" t="s">
        <v>110</v>
      </c>
      <c r="B118" s="12" t="s">
        <v>371</v>
      </c>
      <c r="C118" s="309"/>
    </row>
    <row r="119" spans="1:3" ht="12" customHeight="1">
      <c r="A119" s="15" t="s">
        <v>111</v>
      </c>
      <c r="B119" s="339" t="s">
        <v>232</v>
      </c>
      <c r="C119" s="309"/>
    </row>
    <row r="120" spans="1:3" ht="12" customHeight="1">
      <c r="A120" s="15" t="s">
        <v>120</v>
      </c>
      <c r="B120" s="338" t="s">
        <v>435</v>
      </c>
      <c r="C120" s="309"/>
    </row>
    <row r="121" spans="1:3" ht="12" customHeight="1">
      <c r="A121" s="15" t="s">
        <v>122</v>
      </c>
      <c r="B121" s="467" t="s">
        <v>376</v>
      </c>
      <c r="C121" s="309"/>
    </row>
    <row r="122" spans="1:3" ht="15.75">
      <c r="A122" s="15" t="s">
        <v>189</v>
      </c>
      <c r="B122" s="171" t="s">
        <v>359</v>
      </c>
      <c r="C122" s="309"/>
    </row>
    <row r="123" spans="1:3" ht="12" customHeight="1">
      <c r="A123" s="15" t="s">
        <v>190</v>
      </c>
      <c r="B123" s="171" t="s">
        <v>375</v>
      </c>
      <c r="C123" s="309"/>
    </row>
    <row r="124" spans="1:3" ht="12" customHeight="1">
      <c r="A124" s="15" t="s">
        <v>191</v>
      </c>
      <c r="B124" s="171" t="s">
        <v>374</v>
      </c>
      <c r="C124" s="309"/>
    </row>
    <row r="125" spans="1:3" ht="12" customHeight="1">
      <c r="A125" s="15" t="s">
        <v>367</v>
      </c>
      <c r="B125" s="171" t="s">
        <v>362</v>
      </c>
      <c r="C125" s="309"/>
    </row>
    <row r="126" spans="1:3" ht="12" customHeight="1">
      <c r="A126" s="15" t="s">
        <v>368</v>
      </c>
      <c r="B126" s="171" t="s">
        <v>373</v>
      </c>
      <c r="C126" s="309"/>
    </row>
    <row r="127" spans="1:3" ht="16.5" thickBot="1">
      <c r="A127" s="13" t="s">
        <v>369</v>
      </c>
      <c r="B127" s="171" t="s">
        <v>372</v>
      </c>
      <c r="C127" s="311"/>
    </row>
    <row r="128" spans="1:3" ht="12" customHeight="1" thickBot="1">
      <c r="A128" s="20" t="s">
        <v>21</v>
      </c>
      <c r="B128" s="151" t="s">
        <v>455</v>
      </c>
      <c r="C128" s="342">
        <f>+C93+C114</f>
        <v>57965000</v>
      </c>
    </row>
    <row r="129" spans="1:3" ht="12" customHeight="1" thickBot="1">
      <c r="A129" s="20" t="s">
        <v>22</v>
      </c>
      <c r="B129" s="151" t="s">
        <v>456</v>
      </c>
      <c r="C129" s="342">
        <f>+C130+C131+C132</f>
        <v>0</v>
      </c>
    </row>
    <row r="130" spans="1:3" ht="12" customHeight="1">
      <c r="A130" s="15" t="s">
        <v>271</v>
      </c>
      <c r="B130" s="12" t="s">
        <v>463</v>
      </c>
      <c r="C130" s="309"/>
    </row>
    <row r="131" spans="1:3" ht="12" customHeight="1">
      <c r="A131" s="15" t="s">
        <v>272</v>
      </c>
      <c r="B131" s="12" t="s">
        <v>464</v>
      </c>
      <c r="C131" s="309"/>
    </row>
    <row r="132" spans="1:3" ht="12" customHeight="1" thickBot="1">
      <c r="A132" s="13" t="s">
        <v>273</v>
      </c>
      <c r="B132" s="12" t="s">
        <v>465</v>
      </c>
      <c r="C132" s="309"/>
    </row>
    <row r="133" spans="1:3" ht="12" customHeight="1" thickBot="1">
      <c r="A133" s="20" t="s">
        <v>23</v>
      </c>
      <c r="B133" s="151" t="s">
        <v>457</v>
      </c>
      <c r="C133" s="342">
        <f>SUM(C134:C139)</f>
        <v>0</v>
      </c>
    </row>
    <row r="134" spans="1:3" ht="12" customHeight="1">
      <c r="A134" s="15" t="s">
        <v>94</v>
      </c>
      <c r="B134" s="9" t="s">
        <v>466</v>
      </c>
      <c r="C134" s="309"/>
    </row>
    <row r="135" spans="1:3" ht="12" customHeight="1">
      <c r="A135" s="15" t="s">
        <v>95</v>
      </c>
      <c r="B135" s="9" t="s">
        <v>458</v>
      </c>
      <c r="C135" s="309"/>
    </row>
    <row r="136" spans="1:3" ht="12" customHeight="1">
      <c r="A136" s="15" t="s">
        <v>96</v>
      </c>
      <c r="B136" s="9" t="s">
        <v>459</v>
      </c>
      <c r="C136" s="309"/>
    </row>
    <row r="137" spans="1:3" ht="12" customHeight="1">
      <c r="A137" s="15" t="s">
        <v>176</v>
      </c>
      <c r="B137" s="9" t="s">
        <v>460</v>
      </c>
      <c r="C137" s="309"/>
    </row>
    <row r="138" spans="1:3" ht="12" customHeight="1">
      <c r="A138" s="15" t="s">
        <v>177</v>
      </c>
      <c r="B138" s="9" t="s">
        <v>461</v>
      </c>
      <c r="C138" s="309"/>
    </row>
    <row r="139" spans="1:3" ht="12" customHeight="1" thickBot="1">
      <c r="A139" s="13" t="s">
        <v>178</v>
      </c>
      <c r="B139" s="9" t="s">
        <v>462</v>
      </c>
      <c r="C139" s="309"/>
    </row>
    <row r="140" spans="1:3" ht="12" customHeight="1" thickBot="1">
      <c r="A140" s="20" t="s">
        <v>24</v>
      </c>
      <c r="B140" s="151" t="s">
        <v>470</v>
      </c>
      <c r="C140" s="348">
        <f>+C141+C142+C143+C144</f>
        <v>0</v>
      </c>
    </row>
    <row r="141" spans="1:3" ht="12" customHeight="1">
      <c r="A141" s="15" t="s">
        <v>97</v>
      </c>
      <c r="B141" s="9" t="s">
        <v>377</v>
      </c>
      <c r="C141" s="309"/>
    </row>
    <row r="142" spans="1:3" ht="12" customHeight="1">
      <c r="A142" s="15" t="s">
        <v>98</v>
      </c>
      <c r="B142" s="9" t="s">
        <v>378</v>
      </c>
      <c r="C142" s="309"/>
    </row>
    <row r="143" spans="1:3" ht="12" customHeight="1">
      <c r="A143" s="15" t="s">
        <v>291</v>
      </c>
      <c r="B143" s="9" t="s">
        <v>471</v>
      </c>
      <c r="C143" s="309"/>
    </row>
    <row r="144" spans="1:3" ht="12" customHeight="1" thickBot="1">
      <c r="A144" s="13" t="s">
        <v>292</v>
      </c>
      <c r="B144" s="7" t="s">
        <v>397</v>
      </c>
      <c r="C144" s="309"/>
    </row>
    <row r="145" spans="1:3" ht="12" customHeight="1" thickBot="1">
      <c r="A145" s="20" t="s">
        <v>25</v>
      </c>
      <c r="B145" s="151" t="s">
        <v>472</v>
      </c>
      <c r="C145" s="351">
        <f>SUM(C146:C150)</f>
        <v>0</v>
      </c>
    </row>
    <row r="146" spans="1:3" ht="12" customHeight="1">
      <c r="A146" s="15" t="s">
        <v>99</v>
      </c>
      <c r="B146" s="9" t="s">
        <v>467</v>
      </c>
      <c r="C146" s="309"/>
    </row>
    <row r="147" spans="1:3" ht="12" customHeight="1">
      <c r="A147" s="15" t="s">
        <v>100</v>
      </c>
      <c r="B147" s="9" t="s">
        <v>474</v>
      </c>
      <c r="C147" s="309"/>
    </row>
    <row r="148" spans="1:3" ht="12" customHeight="1">
      <c r="A148" s="15" t="s">
        <v>303</v>
      </c>
      <c r="B148" s="9" t="s">
        <v>469</v>
      </c>
      <c r="C148" s="309"/>
    </row>
    <row r="149" spans="1:3" ht="12" customHeight="1">
      <c r="A149" s="15" t="s">
        <v>304</v>
      </c>
      <c r="B149" s="9" t="s">
        <v>475</v>
      </c>
      <c r="C149" s="309"/>
    </row>
    <row r="150" spans="1:3" ht="12" customHeight="1" thickBot="1">
      <c r="A150" s="15" t="s">
        <v>473</v>
      </c>
      <c r="B150" s="9" t="s">
        <v>476</v>
      </c>
      <c r="C150" s="309"/>
    </row>
    <row r="151" spans="1:3" ht="12" customHeight="1" thickBot="1">
      <c r="A151" s="20" t="s">
        <v>26</v>
      </c>
      <c r="B151" s="151" t="s">
        <v>477</v>
      </c>
      <c r="C151" s="549"/>
    </row>
    <row r="152" spans="1:3" ht="12" customHeight="1" thickBot="1">
      <c r="A152" s="20" t="s">
        <v>27</v>
      </c>
      <c r="B152" s="151" t="s">
        <v>478</v>
      </c>
      <c r="C152" s="549"/>
    </row>
    <row r="153" spans="1:9" ht="15" customHeight="1" thickBot="1">
      <c r="A153" s="20" t="s">
        <v>28</v>
      </c>
      <c r="B153" s="151" t="s">
        <v>480</v>
      </c>
      <c r="C153" s="481">
        <f>+C129+C133+C140+C145+C151+C152</f>
        <v>0</v>
      </c>
      <c r="F153" s="482"/>
      <c r="G153" s="483"/>
      <c r="H153" s="483"/>
      <c r="I153" s="483"/>
    </row>
    <row r="154" spans="1:3" s="470" customFormat="1" ht="12.75" customHeight="1" thickBot="1">
      <c r="A154" s="340" t="s">
        <v>29</v>
      </c>
      <c r="B154" s="433" t="s">
        <v>479</v>
      </c>
      <c r="C154" s="481">
        <f>+C128+C153</f>
        <v>57965000</v>
      </c>
    </row>
    <row r="155" ht="7.5" customHeight="1"/>
    <row r="156" spans="1:3" ht="15.75">
      <c r="A156" s="623" t="s">
        <v>379</v>
      </c>
      <c r="B156" s="623"/>
      <c r="C156" s="623"/>
    </row>
    <row r="157" spans="1:3" ht="15" customHeight="1" thickBot="1">
      <c r="A157" s="621" t="s">
        <v>158</v>
      </c>
      <c r="B157" s="621"/>
      <c r="C157" s="352" t="s">
        <v>230</v>
      </c>
    </row>
    <row r="158" spans="1:4" ht="13.5" customHeight="1" thickBot="1">
      <c r="A158" s="20">
        <v>1</v>
      </c>
      <c r="B158" s="30" t="s">
        <v>481</v>
      </c>
      <c r="C158" s="342">
        <f>+C62-C128</f>
        <v>-9820000</v>
      </c>
      <c r="D158" s="484"/>
    </row>
    <row r="159" spans="1:3" ht="27.75" customHeight="1" thickBot="1">
      <c r="A159" s="20" t="s">
        <v>20</v>
      </c>
      <c r="B159" s="30" t="s">
        <v>581</v>
      </c>
      <c r="C159" s="342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Ibrány Város Önkormányzata
2016. ÉVI KÖLTSÉGVETÉS
ÖNKÉNT VÁLLALT FELADATAINAK MÉRLEGE
&amp;R&amp;"Times New Roman CE,Félkövér dőlt"&amp;11 1.3. melléklet a ........./2016. (.......) önkormányzati rendelethez</oddHeader>
  </headerFooter>
  <rowBreaks count="1" manualBreakCount="1">
    <brk id="87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38"/>
  <sheetViews>
    <sheetView view="pageBreakPreview" zoomScale="60" workbookViewId="0" topLeftCell="A1">
      <selection activeCell="B37" sqref="B37"/>
    </sheetView>
  </sheetViews>
  <sheetFormatPr defaultColWidth="9.00390625" defaultRowHeight="12.75"/>
  <cols>
    <col min="1" max="1" width="88.625" style="53" customWidth="1"/>
    <col min="2" max="2" width="27.875" style="53" customWidth="1"/>
    <col min="3" max="3" width="3.50390625" style="53" customWidth="1"/>
    <col min="4" max="16384" width="9.375" style="53" customWidth="1"/>
  </cols>
  <sheetData>
    <row r="1" spans="1:2" ht="47.25" customHeight="1">
      <c r="A1" s="689" t="str">
        <f>+CONCATENATE("A ",LEFT(ÖSSZEFÜGGÉSEK!A5,4),". évi általános működés és ágazati feladatok támogatásának alakulása jogcímenként")</f>
        <v>A 2016. évi általános működés és ágazati feladatok támogatásának alakulása jogcímenként</v>
      </c>
      <c r="B1" s="689"/>
    </row>
    <row r="2" spans="1:2" ht="22.5" customHeight="1" thickBot="1">
      <c r="A2" s="428"/>
      <c r="B2" s="429" t="s">
        <v>14</v>
      </c>
    </row>
    <row r="3" spans="1:2" s="54" customFormat="1" ht="24" customHeight="1" thickBot="1">
      <c r="A3" s="336" t="s">
        <v>53</v>
      </c>
      <c r="B3" s="427" t="str">
        <f>+CONCATENATE(LEFT(ÖSSZEFÜGGÉSEK!A5,4),". évi támogatás összesen")</f>
        <v>2016. évi támogatás összesen</v>
      </c>
    </row>
    <row r="4" spans="1:2" s="55" customFormat="1" ht="13.5" thickBot="1">
      <c r="A4" s="222" t="s">
        <v>499</v>
      </c>
      <c r="B4" s="223" t="s">
        <v>500</v>
      </c>
    </row>
    <row r="5" spans="1:2" ht="12.75">
      <c r="A5" s="142" t="s">
        <v>635</v>
      </c>
      <c r="B5" s="460">
        <v>109187200</v>
      </c>
    </row>
    <row r="6" spans="1:2" ht="12.75" customHeight="1">
      <c r="A6" s="143" t="s">
        <v>636</v>
      </c>
      <c r="B6" s="460">
        <f>SUM(B7:B10)</f>
        <v>39137149</v>
      </c>
    </row>
    <row r="7" spans="1:2" ht="12.75">
      <c r="A7" s="143" t="s">
        <v>637</v>
      </c>
      <c r="B7" s="617">
        <v>14160500</v>
      </c>
    </row>
    <row r="8" spans="1:2" ht="12.75">
      <c r="A8" s="143" t="s">
        <v>638</v>
      </c>
      <c r="B8" s="617">
        <v>13856000</v>
      </c>
    </row>
    <row r="9" spans="1:2" ht="12.75">
      <c r="A9" s="143" t="s">
        <v>639</v>
      </c>
      <c r="B9" s="617">
        <v>2076969</v>
      </c>
    </row>
    <row r="10" spans="1:2" ht="12.75">
      <c r="A10" s="143" t="s">
        <v>640</v>
      </c>
      <c r="B10" s="617">
        <v>9043680</v>
      </c>
    </row>
    <row r="11" spans="1:2" ht="12.75">
      <c r="A11" s="143" t="s">
        <v>641</v>
      </c>
      <c r="B11" s="460">
        <v>16595323</v>
      </c>
    </row>
    <row r="12" spans="1:2" ht="12.75">
      <c r="A12" s="143" t="s">
        <v>643</v>
      </c>
      <c r="B12" s="460">
        <v>12750</v>
      </c>
    </row>
    <row r="13" spans="1:2" ht="12.75">
      <c r="A13" s="143" t="s">
        <v>642</v>
      </c>
      <c r="B13" s="460">
        <v>504698</v>
      </c>
    </row>
    <row r="14" spans="1:3" ht="12.75">
      <c r="A14" s="615" t="s">
        <v>644</v>
      </c>
      <c r="B14" s="618">
        <f>B5+B6+B11+B13+B12</f>
        <v>165437120</v>
      </c>
      <c r="C14" s="690" t="s">
        <v>535</v>
      </c>
    </row>
    <row r="15" spans="1:3" ht="12.75">
      <c r="A15" s="143"/>
      <c r="B15" s="460"/>
      <c r="C15" s="690"/>
    </row>
    <row r="16" spans="1:3" ht="12.75">
      <c r="A16" s="143" t="s">
        <v>652</v>
      </c>
      <c r="B16" s="616">
        <f>SUM(B17:B21)</f>
        <v>82479300</v>
      </c>
      <c r="C16" s="690"/>
    </row>
    <row r="17" spans="1:3" ht="12.75">
      <c r="A17" s="143" t="s">
        <v>645</v>
      </c>
      <c r="B17" s="617">
        <v>41644000</v>
      </c>
      <c r="C17" s="690"/>
    </row>
    <row r="18" spans="1:3" ht="12.75">
      <c r="A18" s="143" t="s">
        <v>646</v>
      </c>
      <c r="B18" s="617">
        <v>13200000</v>
      </c>
      <c r="C18" s="690"/>
    </row>
    <row r="19" spans="1:3" ht="12.75">
      <c r="A19" s="143" t="s">
        <v>647</v>
      </c>
      <c r="B19" s="617">
        <v>20534800</v>
      </c>
      <c r="C19" s="690"/>
    </row>
    <row r="20" spans="1:3" ht="12.75">
      <c r="A20" s="143" t="s">
        <v>648</v>
      </c>
      <c r="B20" s="617">
        <v>6600000</v>
      </c>
      <c r="C20" s="690"/>
    </row>
    <row r="21" spans="1:3" ht="12.75">
      <c r="A21" s="143" t="s">
        <v>649</v>
      </c>
      <c r="B21" s="617">
        <v>500500</v>
      </c>
      <c r="C21" s="690"/>
    </row>
    <row r="22" spans="1:3" ht="12.75">
      <c r="A22" s="143" t="s">
        <v>653</v>
      </c>
      <c r="B22" s="616">
        <f>SUM(B23:B24)</f>
        <v>13226666</v>
      </c>
      <c r="C22" s="690"/>
    </row>
    <row r="23" spans="1:3" ht="12.75">
      <c r="A23" s="143" t="s">
        <v>650</v>
      </c>
      <c r="B23" s="460">
        <v>8853333</v>
      </c>
      <c r="C23" s="690"/>
    </row>
    <row r="24" spans="1:3" ht="12.75">
      <c r="A24" s="143" t="s">
        <v>651</v>
      </c>
      <c r="B24" s="460">
        <v>4373333</v>
      </c>
      <c r="C24" s="690"/>
    </row>
    <row r="25" spans="1:3" ht="12.75">
      <c r="A25" s="143" t="s">
        <v>654</v>
      </c>
      <c r="B25" s="616">
        <v>13187500</v>
      </c>
      <c r="C25" s="690"/>
    </row>
    <row r="26" spans="1:3" ht="22.5">
      <c r="A26" s="143" t="s">
        <v>655</v>
      </c>
      <c r="B26" s="616">
        <v>384000</v>
      </c>
      <c r="C26" s="690"/>
    </row>
    <row r="27" spans="1:3" ht="12.75">
      <c r="A27" s="615" t="s">
        <v>656</v>
      </c>
      <c r="B27" s="618">
        <f>B16+B22+B25+B26</f>
        <v>109277466</v>
      </c>
      <c r="C27" s="690"/>
    </row>
    <row r="28" spans="1:3" ht="12.75">
      <c r="A28" s="615"/>
      <c r="B28" s="460"/>
      <c r="C28" s="690"/>
    </row>
    <row r="29" spans="1:3" ht="12.75">
      <c r="A29" s="143" t="s">
        <v>657</v>
      </c>
      <c r="B29" s="460">
        <v>66489528</v>
      </c>
      <c r="C29" s="690"/>
    </row>
    <row r="30" spans="1:3" ht="12.75">
      <c r="A30" s="143" t="s">
        <v>658</v>
      </c>
      <c r="B30" s="460">
        <v>12000000</v>
      </c>
      <c r="C30" s="690"/>
    </row>
    <row r="31" spans="1:3" ht="12.75">
      <c r="A31" s="143" t="s">
        <v>659</v>
      </c>
      <c r="B31" s="460">
        <v>18000000</v>
      </c>
      <c r="C31" s="690"/>
    </row>
    <row r="32" spans="1:3" ht="12.75">
      <c r="A32" s="143" t="s">
        <v>660</v>
      </c>
      <c r="B32" s="460">
        <v>24300480</v>
      </c>
      <c r="C32" s="690"/>
    </row>
    <row r="33" spans="1:3" ht="12.75">
      <c r="A33" s="143" t="s">
        <v>661</v>
      </c>
      <c r="B33" s="460">
        <v>45983516</v>
      </c>
      <c r="C33" s="690"/>
    </row>
    <row r="34" spans="1:3" ht="12.75">
      <c r="A34" s="144" t="s">
        <v>662</v>
      </c>
      <c r="B34" s="460">
        <v>9231720</v>
      </c>
      <c r="C34" s="690"/>
    </row>
    <row r="35" spans="1:3" ht="21">
      <c r="A35" s="619" t="s">
        <v>663</v>
      </c>
      <c r="B35" s="618">
        <f>SUM(B29:B34)</f>
        <v>176005244</v>
      </c>
      <c r="C35" s="690"/>
    </row>
    <row r="36" spans="1:3" ht="12.75">
      <c r="A36" s="144"/>
      <c r="B36" s="460"/>
      <c r="C36" s="690"/>
    </row>
    <row r="37" spans="1:3" ht="21.75" thickBot="1">
      <c r="A37" s="619" t="s">
        <v>664</v>
      </c>
      <c r="B37" s="618">
        <v>8016480</v>
      </c>
      <c r="C37" s="690"/>
    </row>
    <row r="38" spans="1:3" s="57" customFormat="1" ht="19.5" customHeight="1" thickBot="1">
      <c r="A38" s="40" t="s">
        <v>54</v>
      </c>
      <c r="B38" s="56">
        <f>B14+B27+B35+B37</f>
        <v>458736310</v>
      </c>
      <c r="C38" s="690"/>
    </row>
  </sheetData>
  <sheetProtection/>
  <mergeCells count="2">
    <mergeCell ref="A1:B1"/>
    <mergeCell ref="C14:C38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7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view="pageBreakPreview" zoomScale="60" workbookViewId="0" topLeftCell="A1">
      <selection activeCell="D6" sqref="D6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94" t="str">
        <f>+CONCATENATE("K I M U T A T Á S",CHAR(10),"a ",LEFT(ÖSSZEFÜGGÉSEK!A5,4),". évben céljelleggel juttatott támogatásokról")</f>
        <v>K I M U T A T Á S
a 2016. évben céljelleggel juttatott támogatásokról</v>
      </c>
      <c r="B1" s="694"/>
      <c r="C1" s="694"/>
      <c r="D1" s="694"/>
    </row>
    <row r="2" spans="1:4" ht="17.25" customHeight="1">
      <c r="A2" s="426"/>
      <c r="B2" s="426"/>
      <c r="C2" s="426"/>
      <c r="D2" s="426"/>
    </row>
    <row r="3" spans="1:4" ht="13.5" thickBot="1">
      <c r="A3" s="244"/>
      <c r="B3" s="244"/>
      <c r="C3" s="691" t="s">
        <v>583</v>
      </c>
      <c r="D3" s="691"/>
    </row>
    <row r="4" spans="1:4" ht="42.75" customHeight="1" thickBot="1">
      <c r="A4" s="430" t="s">
        <v>72</v>
      </c>
      <c r="B4" s="431" t="s">
        <v>128</v>
      </c>
      <c r="C4" s="431" t="s">
        <v>129</v>
      </c>
      <c r="D4" s="432" t="s">
        <v>15</v>
      </c>
    </row>
    <row r="5" spans="1:4" ht="15.75" customHeight="1">
      <c r="A5" s="245" t="s">
        <v>19</v>
      </c>
      <c r="B5" s="32" t="s">
        <v>592</v>
      </c>
      <c r="C5" s="596" t="s">
        <v>597</v>
      </c>
      <c r="D5" s="33">
        <v>12000000</v>
      </c>
    </row>
    <row r="6" spans="1:4" ht="15.75" customHeight="1">
      <c r="A6" s="246" t="s">
        <v>20</v>
      </c>
      <c r="B6" s="34" t="s">
        <v>593</v>
      </c>
      <c r="C6" s="34" t="s">
        <v>597</v>
      </c>
      <c r="D6" s="35">
        <v>200000</v>
      </c>
    </row>
    <row r="7" spans="1:4" ht="15.75" customHeight="1">
      <c r="A7" s="246" t="s">
        <v>21</v>
      </c>
      <c r="B7" s="34" t="s">
        <v>594</v>
      </c>
      <c r="C7" s="598" t="s">
        <v>597</v>
      </c>
      <c r="D7" s="35">
        <v>300000</v>
      </c>
    </row>
    <row r="8" spans="1:4" ht="15.75" customHeight="1">
      <c r="A8" s="246" t="s">
        <v>22</v>
      </c>
      <c r="B8" s="34" t="s">
        <v>595</v>
      </c>
      <c r="C8" s="34" t="s">
        <v>597</v>
      </c>
      <c r="D8" s="35">
        <v>100000</v>
      </c>
    </row>
    <row r="9" spans="1:4" ht="15.75" customHeight="1">
      <c r="A9" s="246" t="s">
        <v>23</v>
      </c>
      <c r="B9" s="34" t="s">
        <v>596</v>
      </c>
      <c r="C9" s="597" t="s">
        <v>597</v>
      </c>
      <c r="D9" s="35">
        <v>500000</v>
      </c>
    </row>
    <row r="10" spans="1:4" ht="15.75" customHeight="1">
      <c r="A10" s="246" t="s">
        <v>24</v>
      </c>
      <c r="B10" s="34" t="s">
        <v>598</v>
      </c>
      <c r="C10" s="597" t="s">
        <v>597</v>
      </c>
      <c r="D10" s="35">
        <v>2100000</v>
      </c>
    </row>
    <row r="11" spans="1:4" ht="15.75" customHeight="1">
      <c r="A11" s="246" t="s">
        <v>25</v>
      </c>
      <c r="B11" s="34"/>
      <c r="C11" s="34"/>
      <c r="D11" s="35"/>
    </row>
    <row r="12" spans="1:4" ht="15.75" customHeight="1">
      <c r="A12" s="246" t="s">
        <v>26</v>
      </c>
      <c r="B12" s="34"/>
      <c r="C12" s="34"/>
      <c r="D12" s="35"/>
    </row>
    <row r="13" spans="1:4" ht="15.75" customHeight="1">
      <c r="A13" s="246" t="s">
        <v>27</v>
      </c>
      <c r="B13" s="34"/>
      <c r="C13" s="34"/>
      <c r="D13" s="35"/>
    </row>
    <row r="14" spans="1:4" ht="15.75" customHeight="1">
      <c r="A14" s="246" t="s">
        <v>28</v>
      </c>
      <c r="B14" s="34"/>
      <c r="C14" s="34"/>
      <c r="D14" s="35"/>
    </row>
    <row r="15" spans="1:4" ht="15.75" customHeight="1">
      <c r="A15" s="246" t="s">
        <v>29</v>
      </c>
      <c r="B15" s="34"/>
      <c r="C15" s="34"/>
      <c r="D15" s="35"/>
    </row>
    <row r="16" spans="1:4" ht="15.75" customHeight="1">
      <c r="A16" s="246" t="s">
        <v>30</v>
      </c>
      <c r="B16" s="34"/>
      <c r="C16" s="34"/>
      <c r="D16" s="35"/>
    </row>
    <row r="17" spans="1:4" ht="15.75" customHeight="1">
      <c r="A17" s="246" t="s">
        <v>31</v>
      </c>
      <c r="B17" s="34"/>
      <c r="C17" s="34"/>
      <c r="D17" s="35"/>
    </row>
    <row r="18" spans="1:4" ht="15.75" customHeight="1">
      <c r="A18" s="246" t="s">
        <v>32</v>
      </c>
      <c r="B18" s="34"/>
      <c r="C18" s="34"/>
      <c r="D18" s="35"/>
    </row>
    <row r="19" spans="1:4" ht="15.75" customHeight="1">
      <c r="A19" s="246" t="s">
        <v>33</v>
      </c>
      <c r="B19" s="34"/>
      <c r="C19" s="34"/>
      <c r="D19" s="35"/>
    </row>
    <row r="20" spans="1:4" ht="15.75" customHeight="1">
      <c r="A20" s="246" t="s">
        <v>34</v>
      </c>
      <c r="B20" s="34"/>
      <c r="C20" s="34"/>
      <c r="D20" s="35"/>
    </row>
    <row r="21" spans="1:4" ht="15.75" customHeight="1">
      <c r="A21" s="246" t="s">
        <v>35</v>
      </c>
      <c r="B21" s="34"/>
      <c r="C21" s="34"/>
      <c r="D21" s="35"/>
    </row>
    <row r="22" spans="1:4" ht="15.75" customHeight="1">
      <c r="A22" s="246" t="s">
        <v>36</v>
      </c>
      <c r="B22" s="34"/>
      <c r="C22" s="34"/>
      <c r="D22" s="35"/>
    </row>
    <row r="23" spans="1:4" ht="15.75" customHeight="1">
      <c r="A23" s="246" t="s">
        <v>37</v>
      </c>
      <c r="B23" s="34"/>
      <c r="C23" s="34"/>
      <c r="D23" s="35"/>
    </row>
    <row r="24" spans="1:4" ht="15.75" customHeight="1">
      <c r="A24" s="246" t="s">
        <v>38</v>
      </c>
      <c r="B24" s="34"/>
      <c r="C24" s="34"/>
      <c r="D24" s="35"/>
    </row>
    <row r="25" spans="1:4" ht="15.75" customHeight="1">
      <c r="A25" s="246" t="s">
        <v>39</v>
      </c>
      <c r="B25" s="34"/>
      <c r="C25" s="34"/>
      <c r="D25" s="35"/>
    </row>
    <row r="26" spans="1:4" ht="15.75" customHeight="1">
      <c r="A26" s="246" t="s">
        <v>40</v>
      </c>
      <c r="B26" s="34"/>
      <c r="C26" s="34"/>
      <c r="D26" s="35"/>
    </row>
    <row r="27" spans="1:4" ht="15.75" customHeight="1">
      <c r="A27" s="246" t="s">
        <v>41</v>
      </c>
      <c r="B27" s="34"/>
      <c r="C27" s="34"/>
      <c r="D27" s="35"/>
    </row>
    <row r="28" spans="1:4" ht="15.75" customHeight="1">
      <c r="A28" s="246" t="s">
        <v>42</v>
      </c>
      <c r="B28" s="34"/>
      <c r="C28" s="34"/>
      <c r="D28" s="35"/>
    </row>
    <row r="29" spans="1:4" ht="15.75" customHeight="1">
      <c r="A29" s="246" t="s">
        <v>43</v>
      </c>
      <c r="B29" s="34"/>
      <c r="C29" s="34"/>
      <c r="D29" s="35"/>
    </row>
    <row r="30" spans="1:4" ht="15.75" customHeight="1">
      <c r="A30" s="246" t="s">
        <v>44</v>
      </c>
      <c r="B30" s="34"/>
      <c r="C30" s="34"/>
      <c r="D30" s="35"/>
    </row>
    <row r="31" spans="1:4" ht="15.75" customHeight="1">
      <c r="A31" s="246" t="s">
        <v>45</v>
      </c>
      <c r="B31" s="34"/>
      <c r="C31" s="34"/>
      <c r="D31" s="35"/>
    </row>
    <row r="32" spans="1:4" ht="15.75" customHeight="1">
      <c r="A32" s="246" t="s">
        <v>46</v>
      </c>
      <c r="B32" s="34"/>
      <c r="C32" s="34"/>
      <c r="D32" s="35"/>
    </row>
    <row r="33" spans="1:4" ht="15.75" customHeight="1">
      <c r="A33" s="246" t="s">
        <v>47</v>
      </c>
      <c r="B33" s="34"/>
      <c r="C33" s="34"/>
      <c r="D33" s="35"/>
    </row>
    <row r="34" spans="1:4" ht="15.75" customHeight="1">
      <c r="A34" s="246" t="s">
        <v>130</v>
      </c>
      <c r="B34" s="34"/>
      <c r="C34" s="34"/>
      <c r="D34" s="105"/>
    </row>
    <row r="35" spans="1:4" ht="15.75" customHeight="1">
      <c r="A35" s="246" t="s">
        <v>131</v>
      </c>
      <c r="B35" s="34"/>
      <c r="C35" s="34"/>
      <c r="D35" s="105"/>
    </row>
    <row r="36" spans="1:4" ht="15.75" customHeight="1">
      <c r="A36" s="246" t="s">
        <v>132</v>
      </c>
      <c r="B36" s="34"/>
      <c r="C36" s="34"/>
      <c r="D36" s="105"/>
    </row>
    <row r="37" spans="1:4" ht="15.75" customHeight="1" thickBot="1">
      <c r="A37" s="247" t="s">
        <v>133</v>
      </c>
      <c r="B37" s="36"/>
      <c r="C37" s="36"/>
      <c r="D37" s="106"/>
    </row>
    <row r="38" spans="1:4" ht="15.75" customHeight="1" thickBot="1">
      <c r="A38" s="692" t="s">
        <v>54</v>
      </c>
      <c r="B38" s="693"/>
      <c r="C38" s="248"/>
      <c r="D38" s="249">
        <f>SUM(D5:D37)</f>
        <v>15200000</v>
      </c>
    </row>
    <row r="39" ht="12.75">
      <c r="A39" t="s">
        <v>203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view="pageBreakPreview" zoomScaleNormal="120" zoomScaleSheetLayoutView="100" workbookViewId="0" topLeftCell="A1">
      <selection activeCell="A1" sqref="A1:E35"/>
    </sheetView>
  </sheetViews>
  <sheetFormatPr defaultColWidth="9.00390625" defaultRowHeight="12.75"/>
  <cols>
    <col min="1" max="1" width="9.00390625" style="434" customWidth="1"/>
    <col min="2" max="2" width="66.375" style="434" bestFit="1" customWidth="1"/>
    <col min="3" max="3" width="15.50390625" style="435" customWidth="1"/>
    <col min="4" max="5" width="15.50390625" style="434" customWidth="1"/>
    <col min="6" max="6" width="9.00390625" style="468" customWidth="1"/>
    <col min="7" max="16384" width="9.375" style="468" customWidth="1"/>
  </cols>
  <sheetData>
    <row r="1" spans="1:5" ht="15.75" customHeight="1">
      <c r="A1" s="620" t="s">
        <v>16</v>
      </c>
      <c r="B1" s="620"/>
      <c r="C1" s="620"/>
      <c r="D1" s="620"/>
      <c r="E1" s="620"/>
    </row>
    <row r="2" spans="1:5" ht="15.75" customHeight="1" thickBot="1">
      <c r="A2" s="621" t="s">
        <v>156</v>
      </c>
      <c r="B2" s="621"/>
      <c r="D2" s="168"/>
      <c r="E2" s="352" t="s">
        <v>230</v>
      </c>
    </row>
    <row r="3" spans="1:5" ht="37.5" customHeight="1" thickBot="1">
      <c r="A3" s="23" t="s">
        <v>72</v>
      </c>
      <c r="B3" s="24" t="s">
        <v>18</v>
      </c>
      <c r="C3" s="24" t="str">
        <f>+CONCATENATE(LEFT('[1]ÖSSZEFÜGGÉSEK'!A5,4)+1,". évi")</f>
        <v>2017. évi</v>
      </c>
      <c r="D3" s="459" t="str">
        <f>+CONCATENATE(LEFT('[1]ÖSSZEFÜGGÉSEK'!A5,4)+2,". évi")</f>
        <v>2018. évi</v>
      </c>
      <c r="E3" s="190" t="str">
        <f>+CONCATENATE(LEFT('[1]ÖSSZEFÜGGÉSEK'!A5,4)+3,". évi")</f>
        <v>2019. évi</v>
      </c>
    </row>
    <row r="4" spans="1:5" s="469" customFormat="1" ht="12" customHeight="1" thickBot="1">
      <c r="A4" s="37" t="s">
        <v>499</v>
      </c>
      <c r="B4" s="38" t="s">
        <v>500</v>
      </c>
      <c r="C4" s="38" t="s">
        <v>501</v>
      </c>
      <c r="D4" s="38" t="s">
        <v>503</v>
      </c>
      <c r="E4" s="503" t="s">
        <v>502</v>
      </c>
    </row>
    <row r="5" spans="1:5" s="470" customFormat="1" ht="12" customHeight="1" thickBot="1">
      <c r="A5" s="20" t="s">
        <v>19</v>
      </c>
      <c r="B5" s="21" t="s">
        <v>539</v>
      </c>
      <c r="C5" s="521">
        <v>1008828</v>
      </c>
      <c r="D5" s="521">
        <v>1190417</v>
      </c>
      <c r="E5" s="522">
        <v>1380884</v>
      </c>
    </row>
    <row r="6" spans="1:5" s="470" customFormat="1" ht="12" customHeight="1" thickBot="1">
      <c r="A6" s="20" t="s">
        <v>20</v>
      </c>
      <c r="B6" s="337" t="s">
        <v>381</v>
      </c>
      <c r="C6" s="521">
        <v>85000</v>
      </c>
      <c r="D6" s="521">
        <v>103000</v>
      </c>
      <c r="E6" s="522">
        <v>116348</v>
      </c>
    </row>
    <row r="7" spans="1:5" s="470" customFormat="1" ht="12" customHeight="1" thickBot="1">
      <c r="A7" s="20" t="s">
        <v>21</v>
      </c>
      <c r="B7" s="21" t="s">
        <v>389</v>
      </c>
      <c r="C7" s="521">
        <v>83000</v>
      </c>
      <c r="D7" s="521">
        <v>98670</v>
      </c>
      <c r="E7" s="522">
        <v>114457</v>
      </c>
    </row>
    <row r="8" spans="1:5" s="470" customFormat="1" ht="12" customHeight="1" thickBot="1">
      <c r="A8" s="20" t="s">
        <v>174</v>
      </c>
      <c r="B8" s="21" t="s">
        <v>270</v>
      </c>
      <c r="C8" s="458">
        <v>96915</v>
      </c>
      <c r="D8" s="458">
        <v>97011</v>
      </c>
      <c r="E8" s="502">
        <v>97011</v>
      </c>
    </row>
    <row r="9" spans="1:5" s="470" customFormat="1" ht="12" customHeight="1">
      <c r="A9" s="15" t="s">
        <v>271</v>
      </c>
      <c r="B9" s="471" t="s">
        <v>563</v>
      </c>
      <c r="C9" s="453"/>
      <c r="D9" s="453">
        <f>+D10+D11+D12</f>
        <v>0</v>
      </c>
      <c r="E9" s="310">
        <f>+E10+E11+E12</f>
        <v>0</v>
      </c>
    </row>
    <row r="10" spans="1:5" s="470" customFormat="1" ht="12" customHeight="1">
      <c r="A10" s="14" t="s">
        <v>272</v>
      </c>
      <c r="B10" s="472" t="s">
        <v>564</v>
      </c>
      <c r="C10" s="452"/>
      <c r="D10" s="452"/>
      <c r="E10" s="309"/>
    </row>
    <row r="11" spans="1:5" s="470" customFormat="1" ht="12" customHeight="1">
      <c r="A11" s="14" t="s">
        <v>273</v>
      </c>
      <c r="B11" s="472" t="s">
        <v>565</v>
      </c>
      <c r="C11" s="452"/>
      <c r="D11" s="452"/>
      <c r="E11" s="309"/>
    </row>
    <row r="12" spans="1:5" s="470" customFormat="1" ht="12" customHeight="1">
      <c r="A12" s="14" t="s">
        <v>274</v>
      </c>
      <c r="B12" s="472" t="s">
        <v>566</v>
      </c>
      <c r="C12" s="452"/>
      <c r="D12" s="452"/>
      <c r="E12" s="309"/>
    </row>
    <row r="13" spans="1:5" s="470" customFormat="1" ht="12" customHeight="1">
      <c r="A13" s="14" t="s">
        <v>560</v>
      </c>
      <c r="B13" s="472" t="s">
        <v>275</v>
      </c>
      <c r="C13" s="452"/>
      <c r="D13" s="452"/>
      <c r="E13" s="309"/>
    </row>
    <row r="14" spans="1:5" s="470" customFormat="1" ht="12" customHeight="1">
      <c r="A14" s="14" t="s">
        <v>561</v>
      </c>
      <c r="B14" s="472" t="s">
        <v>276</v>
      </c>
      <c r="C14" s="452"/>
      <c r="D14" s="452"/>
      <c r="E14" s="309"/>
    </row>
    <row r="15" spans="1:5" s="470" customFormat="1" ht="12" customHeight="1" thickBot="1">
      <c r="A15" s="16" t="s">
        <v>562</v>
      </c>
      <c r="B15" s="473" t="s">
        <v>277</v>
      </c>
      <c r="C15" s="454"/>
      <c r="D15" s="454"/>
      <c r="E15" s="311"/>
    </row>
    <row r="16" spans="1:5" s="470" customFormat="1" ht="12" customHeight="1" thickBot="1">
      <c r="A16" s="20" t="s">
        <v>23</v>
      </c>
      <c r="B16" s="21" t="s">
        <v>542</v>
      </c>
      <c r="C16" s="521">
        <v>131242</v>
      </c>
      <c r="D16" s="521">
        <v>154866</v>
      </c>
      <c r="E16" s="522">
        <v>179645</v>
      </c>
    </row>
    <row r="17" spans="1:5" s="470" customFormat="1" ht="12" customHeight="1" thickBot="1">
      <c r="A17" s="20" t="s">
        <v>24</v>
      </c>
      <c r="B17" s="21" t="s">
        <v>10</v>
      </c>
      <c r="C17" s="521">
        <v>15254</v>
      </c>
      <c r="D17" s="521">
        <v>18000</v>
      </c>
      <c r="E17" s="522">
        <v>20880</v>
      </c>
    </row>
    <row r="18" spans="1:5" s="470" customFormat="1" ht="12" customHeight="1" thickBot="1">
      <c r="A18" s="20" t="s">
        <v>181</v>
      </c>
      <c r="B18" s="21" t="s">
        <v>541</v>
      </c>
      <c r="C18" s="521">
        <v>30000</v>
      </c>
      <c r="D18" s="521">
        <v>34500</v>
      </c>
      <c r="E18" s="522">
        <v>38900</v>
      </c>
    </row>
    <row r="19" spans="1:5" s="470" customFormat="1" ht="12" customHeight="1" thickBot="1">
      <c r="A19" s="20" t="s">
        <v>26</v>
      </c>
      <c r="B19" s="337" t="s">
        <v>540</v>
      </c>
      <c r="C19" s="521">
        <v>18972</v>
      </c>
      <c r="D19" s="521">
        <v>22387</v>
      </c>
      <c r="E19" s="522">
        <v>25969</v>
      </c>
    </row>
    <row r="20" spans="1:5" s="470" customFormat="1" ht="12" customHeight="1" thickBot="1">
      <c r="A20" s="20" t="s">
        <v>27</v>
      </c>
      <c r="B20" s="21" t="s">
        <v>310</v>
      </c>
      <c r="C20" s="458">
        <f>+C5+C6+C7+C8+C16+C17+C18+C19</f>
        <v>1469211</v>
      </c>
      <c r="D20" s="458">
        <f>+D5+D6+D7+D8+D16+D17+D18+D19</f>
        <v>1718851</v>
      </c>
      <c r="E20" s="348">
        <f>+E5+E6+E7+E8+E16+E17+E18+E19</f>
        <v>1974094</v>
      </c>
    </row>
    <row r="21" spans="1:5" s="470" customFormat="1" ht="12" customHeight="1" thickBot="1">
      <c r="A21" s="20" t="s">
        <v>28</v>
      </c>
      <c r="B21" s="21" t="s">
        <v>543</v>
      </c>
      <c r="C21" s="574">
        <v>82599</v>
      </c>
      <c r="D21" s="574">
        <v>83000</v>
      </c>
      <c r="E21" s="575">
        <v>83201</v>
      </c>
    </row>
    <row r="22" spans="1:5" s="470" customFormat="1" ht="12" customHeight="1" thickBot="1">
      <c r="A22" s="20" t="s">
        <v>29</v>
      </c>
      <c r="B22" s="21" t="s">
        <v>544</v>
      </c>
      <c r="C22" s="458">
        <f>+C20+C21</f>
        <v>1551810</v>
      </c>
      <c r="D22" s="458">
        <f>+D20+D21</f>
        <v>1801851</v>
      </c>
      <c r="E22" s="502">
        <f>+E20+E21</f>
        <v>2057295</v>
      </c>
    </row>
    <row r="23" spans="1:5" s="470" customFormat="1" ht="12" customHeight="1">
      <c r="A23" s="420"/>
      <c r="B23" s="421"/>
      <c r="C23" s="422"/>
      <c r="D23" s="571"/>
      <c r="E23" s="572"/>
    </row>
    <row r="24" spans="1:5" s="470" customFormat="1" ht="12" customHeight="1">
      <c r="A24" s="620" t="s">
        <v>48</v>
      </c>
      <c r="B24" s="620"/>
      <c r="C24" s="620"/>
      <c r="D24" s="620"/>
      <c r="E24" s="620"/>
    </row>
    <row r="25" spans="1:5" s="470" customFormat="1" ht="12" customHeight="1" thickBot="1">
      <c r="A25" s="622" t="s">
        <v>157</v>
      </c>
      <c r="B25" s="622"/>
      <c r="C25" s="435"/>
      <c r="D25" s="168"/>
      <c r="E25" s="352" t="s">
        <v>230</v>
      </c>
    </row>
    <row r="26" spans="1:6" s="470" customFormat="1" ht="24" customHeight="1" thickBot="1">
      <c r="A26" s="23" t="s">
        <v>17</v>
      </c>
      <c r="B26" s="24" t="s">
        <v>49</v>
      </c>
      <c r="C26" s="24" t="str">
        <f>+C3</f>
        <v>2017. évi</v>
      </c>
      <c r="D26" s="24" t="str">
        <f>+D3</f>
        <v>2018. évi</v>
      </c>
      <c r="E26" s="190" t="str">
        <f>+E3</f>
        <v>2019. évi</v>
      </c>
      <c r="F26" s="573"/>
    </row>
    <row r="27" spans="1:6" s="470" customFormat="1" ht="12" customHeight="1" thickBot="1">
      <c r="A27" s="463" t="s">
        <v>499</v>
      </c>
      <c r="B27" s="464" t="s">
        <v>500</v>
      </c>
      <c r="C27" s="464" t="s">
        <v>501</v>
      </c>
      <c r="D27" s="464" t="s">
        <v>503</v>
      </c>
      <c r="E27" s="567" t="s">
        <v>502</v>
      </c>
      <c r="F27" s="573"/>
    </row>
    <row r="28" spans="1:6" s="470" customFormat="1" ht="15" customHeight="1" thickBot="1">
      <c r="A28" s="20" t="s">
        <v>19</v>
      </c>
      <c r="B28" s="30" t="s">
        <v>545</v>
      </c>
      <c r="C28" s="521">
        <v>1303918</v>
      </c>
      <c r="D28" s="521">
        <v>1538623</v>
      </c>
      <c r="E28" s="517">
        <v>1784803</v>
      </c>
      <c r="F28" s="573"/>
    </row>
    <row r="29" spans="1:5" ht="12" customHeight="1" thickBot="1">
      <c r="A29" s="545" t="s">
        <v>20</v>
      </c>
      <c r="B29" s="568" t="s">
        <v>550</v>
      </c>
      <c r="C29" s="569">
        <f>+C30+C31+C32</f>
        <v>72490</v>
      </c>
      <c r="D29" s="569">
        <f>+D30+D31+D32</f>
        <v>87338</v>
      </c>
      <c r="E29" s="570">
        <f>+E30+E31+E32</f>
        <v>101312</v>
      </c>
    </row>
    <row r="30" spans="1:5" ht="12" customHeight="1">
      <c r="A30" s="15" t="s">
        <v>107</v>
      </c>
      <c r="B30" s="8" t="s">
        <v>229</v>
      </c>
      <c r="C30" s="453">
        <v>51610</v>
      </c>
      <c r="D30" s="453">
        <v>62700</v>
      </c>
      <c r="E30" s="310">
        <v>72732</v>
      </c>
    </row>
    <row r="31" spans="1:5" ht="12" customHeight="1">
      <c r="A31" s="15" t="s">
        <v>108</v>
      </c>
      <c r="B31" s="12" t="s">
        <v>188</v>
      </c>
      <c r="C31" s="452">
        <v>13680</v>
      </c>
      <c r="D31" s="452">
        <v>16142</v>
      </c>
      <c r="E31" s="309">
        <v>18725</v>
      </c>
    </row>
    <row r="32" spans="1:5" ht="12" customHeight="1" thickBot="1">
      <c r="A32" s="15" t="s">
        <v>109</v>
      </c>
      <c r="B32" s="339" t="s">
        <v>232</v>
      </c>
      <c r="C32" s="452">
        <v>7200</v>
      </c>
      <c r="D32" s="452">
        <v>8496</v>
      </c>
      <c r="E32" s="309">
        <v>9855</v>
      </c>
    </row>
    <row r="33" spans="1:5" ht="12" customHeight="1" thickBot="1">
      <c r="A33" s="20" t="s">
        <v>21</v>
      </c>
      <c r="B33" s="151" t="s">
        <v>455</v>
      </c>
      <c r="C33" s="451">
        <f>+C28+C29</f>
        <v>1376408</v>
      </c>
      <c r="D33" s="451">
        <f>+D28+D29</f>
        <v>1625961</v>
      </c>
      <c r="E33" s="308">
        <f>+E28+E29</f>
        <v>1886115</v>
      </c>
    </row>
    <row r="34" spans="1:6" ht="15" customHeight="1" thickBot="1">
      <c r="A34" s="20" t="s">
        <v>22</v>
      </c>
      <c r="B34" s="151" t="s">
        <v>546</v>
      </c>
      <c r="C34" s="576">
        <f>C22-1376408</f>
        <v>175402</v>
      </c>
      <c r="D34" s="576">
        <f>D22-1625961</f>
        <v>175890</v>
      </c>
      <c r="E34" s="577">
        <f>E22-1886115</f>
        <v>171180</v>
      </c>
      <c r="F34" s="483"/>
    </row>
    <row r="35" spans="1:5" s="470" customFormat="1" ht="12.75" customHeight="1" thickBot="1">
      <c r="A35" s="340" t="s">
        <v>23</v>
      </c>
      <c r="B35" s="433" t="s">
        <v>547</v>
      </c>
      <c r="C35" s="566">
        <f>+C33+C34</f>
        <v>1551810</v>
      </c>
      <c r="D35" s="566">
        <f>+D33+D34</f>
        <v>1801851</v>
      </c>
      <c r="E35" s="560">
        <f>+E33+E34</f>
        <v>2057295</v>
      </c>
    </row>
    <row r="36" ht="15.75">
      <c r="C36" s="434"/>
    </row>
    <row r="37" ht="15.75">
      <c r="C37" s="434"/>
    </row>
    <row r="38" ht="15.75">
      <c r="C38" s="434"/>
    </row>
    <row r="39" ht="16.5" customHeight="1">
      <c r="C39" s="434"/>
    </row>
    <row r="40" ht="15.75">
      <c r="C40" s="434"/>
    </row>
    <row r="41" ht="15.75">
      <c r="C41" s="434"/>
    </row>
    <row r="42" spans="6:7" s="434" customFormat="1" ht="15.75">
      <c r="F42" s="468"/>
      <c r="G42" s="468"/>
    </row>
    <row r="43" spans="6:7" s="434" customFormat="1" ht="15.75">
      <c r="F43" s="468"/>
      <c r="G43" s="468"/>
    </row>
    <row r="44" spans="6:7" s="434" customFormat="1" ht="15.75">
      <c r="F44" s="468"/>
      <c r="G44" s="468"/>
    </row>
    <row r="45" spans="6:7" s="434" customFormat="1" ht="15.75">
      <c r="F45" s="468"/>
      <c r="G45" s="468"/>
    </row>
    <row r="46" spans="6:7" s="434" customFormat="1" ht="15.75">
      <c r="F46" s="468"/>
      <c r="G46" s="468"/>
    </row>
    <row r="47" spans="6:7" s="434" customFormat="1" ht="15.75">
      <c r="F47" s="468"/>
      <c r="G47" s="468"/>
    </row>
    <row r="48" spans="6:7" s="434" customFormat="1" ht="15.75">
      <c r="F48" s="468"/>
      <c r="G48" s="468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CE,Félkövér"&amp;12Ibrány Város Önkormányzata
2016. ÉVI KÖLTSÉGVETÉSI ÉVET KÖVETŐ 3 ÉV TERVEZETT BEVÉTELEI, KIADÁSAI&amp;R&amp;"Times New Roman CE,Félkövér dőlt"&amp;11 7. számú tájékoztató tábla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34">
      <selection activeCell="C3" sqref="C3"/>
    </sheetView>
  </sheetViews>
  <sheetFormatPr defaultColWidth="9.00390625" defaultRowHeight="12.75"/>
  <cols>
    <col min="1" max="1" width="9.50390625" style="434" customWidth="1"/>
    <col min="2" max="2" width="91.625" style="434" customWidth="1"/>
    <col min="3" max="3" width="21.625" style="435" customWidth="1"/>
    <col min="4" max="4" width="9.00390625" style="468" customWidth="1"/>
    <col min="5" max="16384" width="9.375" style="468" customWidth="1"/>
  </cols>
  <sheetData>
    <row r="1" spans="1:3" ht="15.75" customHeight="1">
      <c r="A1" s="620" t="s">
        <v>16</v>
      </c>
      <c r="B1" s="620"/>
      <c r="C1" s="620"/>
    </row>
    <row r="2" spans="1:3" ht="15.75" customHeight="1" thickBot="1">
      <c r="A2" s="621" t="s">
        <v>156</v>
      </c>
      <c r="B2" s="621"/>
      <c r="C2" s="352" t="s">
        <v>585</v>
      </c>
    </row>
    <row r="3" spans="1:3" ht="37.5" customHeight="1" thickBot="1">
      <c r="A3" s="23" t="s">
        <v>72</v>
      </c>
      <c r="B3" s="24" t="s">
        <v>18</v>
      </c>
      <c r="C3" s="45" t="str">
        <f>+CONCATENATE(LEFT(ÖSSZEFÜGGÉSEK!A5,4),". évi előirányzat")</f>
        <v>2016. évi előirányzat</v>
      </c>
    </row>
    <row r="4" spans="1:3" s="469" customFormat="1" ht="12" customHeight="1" thickBot="1">
      <c r="A4" s="463"/>
      <c r="B4" s="464" t="s">
        <v>499</v>
      </c>
      <c r="C4" s="465" t="s">
        <v>500</v>
      </c>
    </row>
    <row r="5" spans="1:3" s="470" customFormat="1" ht="12" customHeight="1" thickBot="1">
      <c r="A5" s="20" t="s">
        <v>19</v>
      </c>
      <c r="B5" s="21" t="s">
        <v>255</v>
      </c>
      <c r="C5" s="342">
        <f>+C6+C7+C8+C9+C10+C11</f>
        <v>0</v>
      </c>
    </row>
    <row r="6" spans="1:3" s="470" customFormat="1" ht="12" customHeight="1">
      <c r="A6" s="15" t="s">
        <v>101</v>
      </c>
      <c r="B6" s="471" t="s">
        <v>256</v>
      </c>
      <c r="C6" s="345"/>
    </row>
    <row r="7" spans="1:3" s="470" customFormat="1" ht="12" customHeight="1">
      <c r="A7" s="14" t="s">
        <v>102</v>
      </c>
      <c r="B7" s="472" t="s">
        <v>257</v>
      </c>
      <c r="C7" s="344"/>
    </row>
    <row r="8" spans="1:3" s="470" customFormat="1" ht="12" customHeight="1">
      <c r="A8" s="14" t="s">
        <v>103</v>
      </c>
      <c r="B8" s="472" t="s">
        <v>558</v>
      </c>
      <c r="C8" s="344"/>
    </row>
    <row r="9" spans="1:3" s="470" customFormat="1" ht="12" customHeight="1">
      <c r="A9" s="14" t="s">
        <v>104</v>
      </c>
      <c r="B9" s="472" t="s">
        <v>259</v>
      </c>
      <c r="C9" s="344"/>
    </row>
    <row r="10" spans="1:3" s="470" customFormat="1" ht="12" customHeight="1">
      <c r="A10" s="14" t="s">
        <v>152</v>
      </c>
      <c r="B10" s="338" t="s">
        <v>439</v>
      </c>
      <c r="C10" s="344"/>
    </row>
    <row r="11" spans="1:3" s="470" customFormat="1" ht="12" customHeight="1" thickBot="1">
      <c r="A11" s="16" t="s">
        <v>105</v>
      </c>
      <c r="B11" s="339" t="s">
        <v>440</v>
      </c>
      <c r="C11" s="344"/>
    </row>
    <row r="12" spans="1:3" s="470" customFormat="1" ht="12" customHeight="1" thickBot="1">
      <c r="A12" s="20" t="s">
        <v>20</v>
      </c>
      <c r="B12" s="337" t="s">
        <v>260</v>
      </c>
      <c r="C12" s="342">
        <f>+C13+C14+C15+C16+C17</f>
        <v>0</v>
      </c>
    </row>
    <row r="13" spans="1:3" s="470" customFormat="1" ht="12" customHeight="1">
      <c r="A13" s="15" t="s">
        <v>107</v>
      </c>
      <c r="B13" s="471" t="s">
        <v>261</v>
      </c>
      <c r="C13" s="345"/>
    </row>
    <row r="14" spans="1:3" s="470" customFormat="1" ht="12" customHeight="1">
      <c r="A14" s="14" t="s">
        <v>108</v>
      </c>
      <c r="B14" s="472" t="s">
        <v>262</v>
      </c>
      <c r="C14" s="344"/>
    </row>
    <row r="15" spans="1:3" s="470" customFormat="1" ht="12" customHeight="1">
      <c r="A15" s="14" t="s">
        <v>109</v>
      </c>
      <c r="B15" s="472" t="s">
        <v>429</v>
      </c>
      <c r="C15" s="344"/>
    </row>
    <row r="16" spans="1:3" s="470" customFormat="1" ht="12" customHeight="1">
      <c r="A16" s="14" t="s">
        <v>110</v>
      </c>
      <c r="B16" s="472" t="s">
        <v>430</v>
      </c>
      <c r="C16" s="344"/>
    </row>
    <row r="17" spans="1:3" s="470" customFormat="1" ht="12" customHeight="1">
      <c r="A17" s="14" t="s">
        <v>111</v>
      </c>
      <c r="B17" s="472" t="s">
        <v>263</v>
      </c>
      <c r="C17" s="344"/>
    </row>
    <row r="18" spans="1:3" s="470" customFormat="1" ht="12" customHeight="1" thickBot="1">
      <c r="A18" s="16" t="s">
        <v>120</v>
      </c>
      <c r="B18" s="339" t="s">
        <v>264</v>
      </c>
      <c r="C18" s="346"/>
    </row>
    <row r="19" spans="1:3" s="470" customFormat="1" ht="12" customHeight="1" thickBot="1">
      <c r="A19" s="20" t="s">
        <v>21</v>
      </c>
      <c r="B19" s="21" t="s">
        <v>265</v>
      </c>
      <c r="C19" s="342">
        <f>+C20+C21+C22+C23+C24</f>
        <v>0</v>
      </c>
    </row>
    <row r="20" spans="1:3" s="470" customFormat="1" ht="12" customHeight="1">
      <c r="A20" s="15" t="s">
        <v>90</v>
      </c>
      <c r="B20" s="471" t="s">
        <v>266</v>
      </c>
      <c r="C20" s="345"/>
    </row>
    <row r="21" spans="1:3" s="470" customFormat="1" ht="12" customHeight="1">
      <c r="A21" s="14" t="s">
        <v>91</v>
      </c>
      <c r="B21" s="472" t="s">
        <v>267</v>
      </c>
      <c r="C21" s="344"/>
    </row>
    <row r="22" spans="1:3" s="470" customFormat="1" ht="12" customHeight="1">
      <c r="A22" s="14" t="s">
        <v>92</v>
      </c>
      <c r="B22" s="472" t="s">
        <v>431</v>
      </c>
      <c r="C22" s="344"/>
    </row>
    <row r="23" spans="1:3" s="470" customFormat="1" ht="12" customHeight="1">
      <c r="A23" s="14" t="s">
        <v>93</v>
      </c>
      <c r="B23" s="472" t="s">
        <v>432</v>
      </c>
      <c r="C23" s="344"/>
    </row>
    <row r="24" spans="1:3" s="470" customFormat="1" ht="12" customHeight="1">
      <c r="A24" s="14" t="s">
        <v>172</v>
      </c>
      <c r="B24" s="472" t="s">
        <v>268</v>
      </c>
      <c r="C24" s="344"/>
    </row>
    <row r="25" spans="1:3" s="470" customFormat="1" ht="12" customHeight="1" thickBot="1">
      <c r="A25" s="16" t="s">
        <v>173</v>
      </c>
      <c r="B25" s="473" t="s">
        <v>269</v>
      </c>
      <c r="C25" s="346"/>
    </row>
    <row r="26" spans="1:3" s="470" customFormat="1" ht="12" customHeight="1" thickBot="1">
      <c r="A26" s="20" t="s">
        <v>174</v>
      </c>
      <c r="B26" s="21" t="s">
        <v>569</v>
      </c>
      <c r="C26" s="348">
        <f>SUM(C27:C33)</f>
        <v>0</v>
      </c>
    </row>
    <row r="27" spans="1:3" s="470" customFormat="1" ht="12" customHeight="1">
      <c r="A27" s="15" t="s">
        <v>271</v>
      </c>
      <c r="B27" s="471" t="s">
        <v>563</v>
      </c>
      <c r="C27" s="345"/>
    </row>
    <row r="28" spans="1:3" s="470" customFormat="1" ht="12" customHeight="1">
      <c r="A28" s="14" t="s">
        <v>272</v>
      </c>
      <c r="B28" s="472" t="s">
        <v>564</v>
      </c>
      <c r="C28" s="344"/>
    </row>
    <row r="29" spans="1:3" s="470" customFormat="1" ht="12" customHeight="1">
      <c r="A29" s="14" t="s">
        <v>273</v>
      </c>
      <c r="B29" s="472" t="s">
        <v>565</v>
      </c>
      <c r="C29" s="344"/>
    </row>
    <row r="30" spans="1:3" s="470" customFormat="1" ht="12" customHeight="1">
      <c r="A30" s="14" t="s">
        <v>274</v>
      </c>
      <c r="B30" s="472" t="s">
        <v>566</v>
      </c>
      <c r="C30" s="344"/>
    </row>
    <row r="31" spans="1:3" s="470" customFormat="1" ht="12" customHeight="1">
      <c r="A31" s="14" t="s">
        <v>560</v>
      </c>
      <c r="B31" s="472" t="s">
        <v>275</v>
      </c>
      <c r="C31" s="344"/>
    </row>
    <row r="32" spans="1:3" s="470" customFormat="1" ht="12" customHeight="1">
      <c r="A32" s="14" t="s">
        <v>561</v>
      </c>
      <c r="B32" s="472" t="s">
        <v>276</v>
      </c>
      <c r="C32" s="344"/>
    </row>
    <row r="33" spans="1:3" s="470" customFormat="1" ht="12" customHeight="1" thickBot="1">
      <c r="A33" s="16" t="s">
        <v>562</v>
      </c>
      <c r="B33" s="578" t="s">
        <v>277</v>
      </c>
      <c r="C33" s="346"/>
    </row>
    <row r="34" spans="1:3" s="470" customFormat="1" ht="12" customHeight="1" thickBot="1">
      <c r="A34" s="20" t="s">
        <v>23</v>
      </c>
      <c r="B34" s="21" t="s">
        <v>441</v>
      </c>
      <c r="C34" s="342">
        <f>SUM(C35:C45)</f>
        <v>0</v>
      </c>
    </row>
    <row r="35" spans="1:3" s="470" customFormat="1" ht="12" customHeight="1">
      <c r="A35" s="15" t="s">
        <v>94</v>
      </c>
      <c r="B35" s="471" t="s">
        <v>280</v>
      </c>
      <c r="C35" s="345"/>
    </row>
    <row r="36" spans="1:3" s="470" customFormat="1" ht="12" customHeight="1">
      <c r="A36" s="14" t="s">
        <v>95</v>
      </c>
      <c r="B36" s="472" t="s">
        <v>281</v>
      </c>
      <c r="C36" s="344"/>
    </row>
    <row r="37" spans="1:3" s="470" customFormat="1" ht="12" customHeight="1">
      <c r="A37" s="14" t="s">
        <v>96</v>
      </c>
      <c r="B37" s="472" t="s">
        <v>282</v>
      </c>
      <c r="C37" s="344"/>
    </row>
    <row r="38" spans="1:3" s="470" customFormat="1" ht="12" customHeight="1">
      <c r="A38" s="14" t="s">
        <v>176</v>
      </c>
      <c r="B38" s="472" t="s">
        <v>283</v>
      </c>
      <c r="C38" s="344"/>
    </row>
    <row r="39" spans="1:3" s="470" customFormat="1" ht="12" customHeight="1">
      <c r="A39" s="14" t="s">
        <v>177</v>
      </c>
      <c r="B39" s="472" t="s">
        <v>284</v>
      </c>
      <c r="C39" s="344"/>
    </row>
    <row r="40" spans="1:3" s="470" customFormat="1" ht="12" customHeight="1">
      <c r="A40" s="14" t="s">
        <v>178</v>
      </c>
      <c r="B40" s="472" t="s">
        <v>285</v>
      </c>
      <c r="C40" s="344"/>
    </row>
    <row r="41" spans="1:3" s="470" customFormat="1" ht="12" customHeight="1">
      <c r="A41" s="14" t="s">
        <v>179</v>
      </c>
      <c r="B41" s="472" t="s">
        <v>286</v>
      </c>
      <c r="C41" s="344"/>
    </row>
    <row r="42" spans="1:3" s="470" customFormat="1" ht="12" customHeight="1">
      <c r="A42" s="14" t="s">
        <v>180</v>
      </c>
      <c r="B42" s="472" t="s">
        <v>568</v>
      </c>
      <c r="C42" s="344"/>
    </row>
    <row r="43" spans="1:3" s="470" customFormat="1" ht="12" customHeight="1">
      <c r="A43" s="14" t="s">
        <v>278</v>
      </c>
      <c r="B43" s="472" t="s">
        <v>288</v>
      </c>
      <c r="C43" s="347"/>
    </row>
    <row r="44" spans="1:3" s="470" customFormat="1" ht="12" customHeight="1">
      <c r="A44" s="16" t="s">
        <v>279</v>
      </c>
      <c r="B44" s="473" t="s">
        <v>443</v>
      </c>
      <c r="C44" s="457"/>
    </row>
    <row r="45" spans="1:3" s="470" customFormat="1" ht="12" customHeight="1" thickBot="1">
      <c r="A45" s="16" t="s">
        <v>442</v>
      </c>
      <c r="B45" s="339" t="s">
        <v>289</v>
      </c>
      <c r="C45" s="457"/>
    </row>
    <row r="46" spans="1:3" s="470" customFormat="1" ht="12" customHeight="1" thickBot="1">
      <c r="A46" s="20" t="s">
        <v>24</v>
      </c>
      <c r="B46" s="21" t="s">
        <v>290</v>
      </c>
      <c r="C46" s="342">
        <f>SUM(C47:C51)</f>
        <v>0</v>
      </c>
    </row>
    <row r="47" spans="1:3" s="470" customFormat="1" ht="12" customHeight="1">
      <c r="A47" s="15" t="s">
        <v>97</v>
      </c>
      <c r="B47" s="471" t="s">
        <v>294</v>
      </c>
      <c r="C47" s="516"/>
    </row>
    <row r="48" spans="1:3" s="470" customFormat="1" ht="12" customHeight="1">
      <c r="A48" s="14" t="s">
        <v>98</v>
      </c>
      <c r="B48" s="472" t="s">
        <v>295</v>
      </c>
      <c r="C48" s="347"/>
    </row>
    <row r="49" spans="1:3" s="470" customFormat="1" ht="12" customHeight="1">
      <c r="A49" s="14" t="s">
        <v>291</v>
      </c>
      <c r="B49" s="472" t="s">
        <v>296</v>
      </c>
      <c r="C49" s="347"/>
    </row>
    <row r="50" spans="1:3" s="470" customFormat="1" ht="12" customHeight="1">
      <c r="A50" s="14" t="s">
        <v>292</v>
      </c>
      <c r="B50" s="472" t="s">
        <v>297</v>
      </c>
      <c r="C50" s="347"/>
    </row>
    <row r="51" spans="1:3" s="470" customFormat="1" ht="12" customHeight="1" thickBot="1">
      <c r="A51" s="16" t="s">
        <v>293</v>
      </c>
      <c r="B51" s="339" t="s">
        <v>298</v>
      </c>
      <c r="C51" s="457"/>
    </row>
    <row r="52" spans="1:3" s="470" customFormat="1" ht="12" customHeight="1" thickBot="1">
      <c r="A52" s="20" t="s">
        <v>181</v>
      </c>
      <c r="B52" s="21" t="s">
        <v>299</v>
      </c>
      <c r="C52" s="342">
        <f>SUM(C53:C55)</f>
        <v>0</v>
      </c>
    </row>
    <row r="53" spans="1:3" s="470" customFormat="1" ht="12" customHeight="1">
      <c r="A53" s="15" t="s">
        <v>99</v>
      </c>
      <c r="B53" s="471" t="s">
        <v>300</v>
      </c>
      <c r="C53" s="345"/>
    </row>
    <row r="54" spans="1:3" s="470" customFormat="1" ht="12" customHeight="1">
      <c r="A54" s="14" t="s">
        <v>100</v>
      </c>
      <c r="B54" s="472" t="s">
        <v>433</v>
      </c>
      <c r="C54" s="344"/>
    </row>
    <row r="55" spans="1:3" s="470" customFormat="1" ht="12" customHeight="1">
      <c r="A55" s="14" t="s">
        <v>303</v>
      </c>
      <c r="B55" s="472" t="s">
        <v>301</v>
      </c>
      <c r="C55" s="344"/>
    </row>
    <row r="56" spans="1:3" s="470" customFormat="1" ht="12" customHeight="1" thickBot="1">
      <c r="A56" s="16" t="s">
        <v>304</v>
      </c>
      <c r="B56" s="339" t="s">
        <v>302</v>
      </c>
      <c r="C56" s="346"/>
    </row>
    <row r="57" spans="1:3" s="470" customFormat="1" ht="12" customHeight="1" thickBot="1">
      <c r="A57" s="20" t="s">
        <v>26</v>
      </c>
      <c r="B57" s="337" t="s">
        <v>305</v>
      </c>
      <c r="C57" s="342">
        <f>SUM(C58:C60)</f>
        <v>0</v>
      </c>
    </row>
    <row r="58" spans="1:3" s="470" customFormat="1" ht="12" customHeight="1">
      <c r="A58" s="15" t="s">
        <v>182</v>
      </c>
      <c r="B58" s="471" t="s">
        <v>307</v>
      </c>
      <c r="C58" s="347"/>
    </row>
    <row r="59" spans="1:3" s="470" customFormat="1" ht="12" customHeight="1">
      <c r="A59" s="14" t="s">
        <v>183</v>
      </c>
      <c r="B59" s="472" t="s">
        <v>434</v>
      </c>
      <c r="C59" s="347"/>
    </row>
    <row r="60" spans="1:3" s="470" customFormat="1" ht="12" customHeight="1">
      <c r="A60" s="14" t="s">
        <v>231</v>
      </c>
      <c r="B60" s="472" t="s">
        <v>308</v>
      </c>
      <c r="C60" s="347"/>
    </row>
    <row r="61" spans="1:3" s="470" customFormat="1" ht="12" customHeight="1" thickBot="1">
      <c r="A61" s="16" t="s">
        <v>306</v>
      </c>
      <c r="B61" s="339" t="s">
        <v>309</v>
      </c>
      <c r="C61" s="347"/>
    </row>
    <row r="62" spans="1:3" s="470" customFormat="1" ht="12" customHeight="1" thickBot="1">
      <c r="A62" s="550" t="s">
        <v>483</v>
      </c>
      <c r="B62" s="21" t="s">
        <v>310</v>
      </c>
      <c r="C62" s="348">
        <f>+C5+C12+C19+C26+C34+C46+C52+C57</f>
        <v>0</v>
      </c>
    </row>
    <row r="63" spans="1:3" s="470" customFormat="1" ht="12" customHeight="1" thickBot="1">
      <c r="A63" s="519" t="s">
        <v>311</v>
      </c>
      <c r="B63" s="337" t="s">
        <v>312</v>
      </c>
      <c r="C63" s="342">
        <f>SUM(C64:C66)</f>
        <v>0</v>
      </c>
    </row>
    <row r="64" spans="1:3" s="470" customFormat="1" ht="12" customHeight="1">
      <c r="A64" s="15" t="s">
        <v>343</v>
      </c>
      <c r="B64" s="471" t="s">
        <v>313</v>
      </c>
      <c r="C64" s="347"/>
    </row>
    <row r="65" spans="1:3" s="470" customFormat="1" ht="12" customHeight="1">
      <c r="A65" s="14" t="s">
        <v>352</v>
      </c>
      <c r="B65" s="472" t="s">
        <v>314</v>
      </c>
      <c r="C65" s="347"/>
    </row>
    <row r="66" spans="1:3" s="470" customFormat="1" ht="12" customHeight="1" thickBot="1">
      <c r="A66" s="16" t="s">
        <v>353</v>
      </c>
      <c r="B66" s="544" t="s">
        <v>468</v>
      </c>
      <c r="C66" s="347"/>
    </row>
    <row r="67" spans="1:3" s="470" customFormat="1" ht="12" customHeight="1" thickBot="1">
      <c r="A67" s="519" t="s">
        <v>316</v>
      </c>
      <c r="B67" s="337" t="s">
        <v>317</v>
      </c>
      <c r="C67" s="342">
        <f>SUM(C68:C71)</f>
        <v>0</v>
      </c>
    </row>
    <row r="68" spans="1:3" s="470" customFormat="1" ht="12" customHeight="1">
      <c r="A68" s="15" t="s">
        <v>153</v>
      </c>
      <c r="B68" s="471" t="s">
        <v>318</v>
      </c>
      <c r="C68" s="347"/>
    </row>
    <row r="69" spans="1:3" s="470" customFormat="1" ht="12" customHeight="1">
      <c r="A69" s="14" t="s">
        <v>154</v>
      </c>
      <c r="B69" s="472" t="s">
        <v>319</v>
      </c>
      <c r="C69" s="347"/>
    </row>
    <row r="70" spans="1:3" s="470" customFormat="1" ht="12" customHeight="1">
      <c r="A70" s="14" t="s">
        <v>344</v>
      </c>
      <c r="B70" s="472" t="s">
        <v>320</v>
      </c>
      <c r="C70" s="347"/>
    </row>
    <row r="71" spans="1:3" s="470" customFormat="1" ht="12" customHeight="1" thickBot="1">
      <c r="A71" s="16" t="s">
        <v>345</v>
      </c>
      <c r="B71" s="339" t="s">
        <v>321</v>
      </c>
      <c r="C71" s="347"/>
    </row>
    <row r="72" spans="1:3" s="470" customFormat="1" ht="12" customHeight="1" thickBot="1">
      <c r="A72" s="519" t="s">
        <v>322</v>
      </c>
      <c r="B72" s="337" t="s">
        <v>323</v>
      </c>
      <c r="C72" s="342">
        <f>SUM(C73:C74)</f>
        <v>0</v>
      </c>
    </row>
    <row r="73" spans="1:3" s="470" customFormat="1" ht="12" customHeight="1">
      <c r="A73" s="15" t="s">
        <v>346</v>
      </c>
      <c r="B73" s="471" t="s">
        <v>324</v>
      </c>
      <c r="C73" s="347"/>
    </row>
    <row r="74" spans="1:3" s="470" customFormat="1" ht="12" customHeight="1" thickBot="1">
      <c r="A74" s="16" t="s">
        <v>347</v>
      </c>
      <c r="B74" s="339" t="s">
        <v>325</v>
      </c>
      <c r="C74" s="347"/>
    </row>
    <row r="75" spans="1:3" s="470" customFormat="1" ht="12" customHeight="1" thickBot="1">
      <c r="A75" s="519" t="s">
        <v>326</v>
      </c>
      <c r="B75" s="337" t="s">
        <v>327</v>
      </c>
      <c r="C75" s="342">
        <f>SUM(C76:C78)</f>
        <v>0</v>
      </c>
    </row>
    <row r="76" spans="1:3" s="470" customFormat="1" ht="12" customHeight="1">
      <c r="A76" s="15" t="s">
        <v>348</v>
      </c>
      <c r="B76" s="471" t="s">
        <v>328</v>
      </c>
      <c r="C76" s="347"/>
    </row>
    <row r="77" spans="1:3" s="470" customFormat="1" ht="12" customHeight="1">
      <c r="A77" s="14" t="s">
        <v>349</v>
      </c>
      <c r="B77" s="472" t="s">
        <v>329</v>
      </c>
      <c r="C77" s="347"/>
    </row>
    <row r="78" spans="1:3" s="470" customFormat="1" ht="12" customHeight="1" thickBot="1">
      <c r="A78" s="16" t="s">
        <v>350</v>
      </c>
      <c r="B78" s="339" t="s">
        <v>330</v>
      </c>
      <c r="C78" s="347"/>
    </row>
    <row r="79" spans="1:3" s="470" customFormat="1" ht="12" customHeight="1" thickBot="1">
      <c r="A79" s="519" t="s">
        <v>331</v>
      </c>
      <c r="B79" s="337" t="s">
        <v>351</v>
      </c>
      <c r="C79" s="342">
        <f>SUM(C80:C83)</f>
        <v>0</v>
      </c>
    </row>
    <row r="80" spans="1:3" s="470" customFormat="1" ht="12" customHeight="1">
      <c r="A80" s="475" t="s">
        <v>332</v>
      </c>
      <c r="B80" s="471" t="s">
        <v>333</v>
      </c>
      <c r="C80" s="347"/>
    </row>
    <row r="81" spans="1:3" s="470" customFormat="1" ht="12" customHeight="1">
      <c r="A81" s="476" t="s">
        <v>334</v>
      </c>
      <c r="B81" s="472" t="s">
        <v>335</v>
      </c>
      <c r="C81" s="347"/>
    </row>
    <row r="82" spans="1:3" s="470" customFormat="1" ht="12" customHeight="1">
      <c r="A82" s="476" t="s">
        <v>336</v>
      </c>
      <c r="B82" s="472" t="s">
        <v>337</v>
      </c>
      <c r="C82" s="347"/>
    </row>
    <row r="83" spans="1:3" s="470" customFormat="1" ht="12" customHeight="1" thickBot="1">
      <c r="A83" s="477" t="s">
        <v>338</v>
      </c>
      <c r="B83" s="339" t="s">
        <v>339</v>
      </c>
      <c r="C83" s="347"/>
    </row>
    <row r="84" spans="1:3" s="470" customFormat="1" ht="12" customHeight="1" thickBot="1">
      <c r="A84" s="519" t="s">
        <v>340</v>
      </c>
      <c r="B84" s="337" t="s">
        <v>482</v>
      </c>
      <c r="C84" s="517"/>
    </row>
    <row r="85" spans="1:3" s="470" customFormat="1" ht="13.5" customHeight="1" thickBot="1">
      <c r="A85" s="519" t="s">
        <v>342</v>
      </c>
      <c r="B85" s="337" t="s">
        <v>341</v>
      </c>
      <c r="C85" s="517"/>
    </row>
    <row r="86" spans="1:3" s="470" customFormat="1" ht="15.75" customHeight="1" thickBot="1">
      <c r="A86" s="519" t="s">
        <v>354</v>
      </c>
      <c r="B86" s="478" t="s">
        <v>485</v>
      </c>
      <c r="C86" s="348">
        <f>+C63+C67+C72+C75+C79+C85+C84</f>
        <v>0</v>
      </c>
    </row>
    <row r="87" spans="1:3" s="470" customFormat="1" ht="16.5" customHeight="1" thickBot="1">
      <c r="A87" s="520" t="s">
        <v>484</v>
      </c>
      <c r="B87" s="479" t="s">
        <v>486</v>
      </c>
      <c r="C87" s="348">
        <f>+C62+C86</f>
        <v>0</v>
      </c>
    </row>
    <row r="88" spans="1:3" s="470" customFormat="1" ht="24.75" customHeight="1">
      <c r="A88" s="5"/>
      <c r="B88" s="6"/>
      <c r="C88" s="349"/>
    </row>
    <row r="89" spans="1:3" ht="16.5" customHeight="1">
      <c r="A89" s="620" t="s">
        <v>48</v>
      </c>
      <c r="B89" s="620"/>
      <c r="C89" s="620"/>
    </row>
    <row r="90" spans="1:3" s="480" customFormat="1" ht="16.5" customHeight="1" thickBot="1">
      <c r="A90" s="622" t="s">
        <v>157</v>
      </c>
      <c r="B90" s="622"/>
      <c r="C90" s="167" t="s">
        <v>585</v>
      </c>
    </row>
    <row r="91" spans="1:3" ht="37.5" customHeight="1" thickBot="1">
      <c r="A91" s="23" t="s">
        <v>72</v>
      </c>
      <c r="B91" s="24" t="s">
        <v>49</v>
      </c>
      <c r="C91" s="45" t="str">
        <f>+C3</f>
        <v>2016. évi előirányzat</v>
      </c>
    </row>
    <row r="92" spans="1:3" s="469" customFormat="1" ht="12" customHeight="1" thickBot="1">
      <c r="A92" s="37"/>
      <c r="B92" s="38" t="s">
        <v>499</v>
      </c>
      <c r="C92" s="39" t="s">
        <v>500</v>
      </c>
    </row>
    <row r="93" spans="1:3" ht="12" customHeight="1" thickBot="1">
      <c r="A93" s="22" t="s">
        <v>19</v>
      </c>
      <c r="B93" s="31" t="s">
        <v>444</v>
      </c>
      <c r="C93" s="341">
        <f>C94+C95+C96+C97+C98+C111</f>
        <v>18669000</v>
      </c>
    </row>
    <row r="94" spans="1:3" ht="12" customHeight="1">
      <c r="A94" s="17" t="s">
        <v>101</v>
      </c>
      <c r="B94" s="10" t="s">
        <v>50</v>
      </c>
      <c r="C94" s="343">
        <f>'9.2.3. sz. mell HIV'!C47</f>
        <v>14257000</v>
      </c>
    </row>
    <row r="95" spans="1:3" ht="12" customHeight="1">
      <c r="A95" s="14" t="s">
        <v>102</v>
      </c>
      <c r="B95" s="8" t="s">
        <v>184</v>
      </c>
      <c r="C95" s="344">
        <f>'9.2.3. sz. mell HIV'!C48</f>
        <v>3912000</v>
      </c>
    </row>
    <row r="96" spans="1:3" ht="12" customHeight="1">
      <c r="A96" s="14" t="s">
        <v>103</v>
      </c>
      <c r="B96" s="8" t="s">
        <v>144</v>
      </c>
      <c r="C96" s="345">
        <f>'9.2.3. sz. mell HIV'!C49</f>
        <v>500000</v>
      </c>
    </row>
    <row r="97" spans="1:3" ht="12" customHeight="1">
      <c r="A97" s="14" t="s">
        <v>104</v>
      </c>
      <c r="B97" s="11" t="s">
        <v>185</v>
      </c>
      <c r="C97" s="346"/>
    </row>
    <row r="98" spans="1:3" ht="12" customHeight="1">
      <c r="A98" s="14" t="s">
        <v>115</v>
      </c>
      <c r="B98" s="19" t="s">
        <v>186</v>
      </c>
      <c r="C98" s="346"/>
    </row>
    <row r="99" spans="1:3" ht="12" customHeight="1">
      <c r="A99" s="14" t="s">
        <v>105</v>
      </c>
      <c r="B99" s="8" t="s">
        <v>449</v>
      </c>
      <c r="C99" s="346"/>
    </row>
    <row r="100" spans="1:3" ht="12" customHeight="1">
      <c r="A100" s="14" t="s">
        <v>106</v>
      </c>
      <c r="B100" s="172" t="s">
        <v>448</v>
      </c>
      <c r="C100" s="346"/>
    </row>
    <row r="101" spans="1:3" ht="12" customHeight="1">
      <c r="A101" s="14" t="s">
        <v>116</v>
      </c>
      <c r="B101" s="172" t="s">
        <v>447</v>
      </c>
      <c r="C101" s="346"/>
    </row>
    <row r="102" spans="1:3" ht="12" customHeight="1">
      <c r="A102" s="14" t="s">
        <v>117</v>
      </c>
      <c r="B102" s="170" t="s">
        <v>357</v>
      </c>
      <c r="C102" s="346"/>
    </row>
    <row r="103" spans="1:3" ht="12" customHeight="1">
      <c r="A103" s="14" t="s">
        <v>118</v>
      </c>
      <c r="B103" s="171" t="s">
        <v>358</v>
      </c>
      <c r="C103" s="346"/>
    </row>
    <row r="104" spans="1:3" ht="12" customHeight="1">
      <c r="A104" s="14" t="s">
        <v>119</v>
      </c>
      <c r="B104" s="171" t="s">
        <v>359</v>
      </c>
      <c r="C104" s="346"/>
    </row>
    <row r="105" spans="1:3" ht="12" customHeight="1">
      <c r="A105" s="14" t="s">
        <v>121</v>
      </c>
      <c r="B105" s="170" t="s">
        <v>360</v>
      </c>
      <c r="C105" s="346"/>
    </row>
    <row r="106" spans="1:3" ht="12" customHeight="1">
      <c r="A106" s="14" t="s">
        <v>187</v>
      </c>
      <c r="B106" s="170" t="s">
        <v>361</v>
      </c>
      <c r="C106" s="346"/>
    </row>
    <row r="107" spans="1:3" ht="12" customHeight="1">
      <c r="A107" s="14" t="s">
        <v>355</v>
      </c>
      <c r="B107" s="171" t="s">
        <v>362</v>
      </c>
      <c r="C107" s="346"/>
    </row>
    <row r="108" spans="1:3" ht="12" customHeight="1">
      <c r="A108" s="13" t="s">
        <v>356</v>
      </c>
      <c r="B108" s="172" t="s">
        <v>363</v>
      </c>
      <c r="C108" s="346"/>
    </row>
    <row r="109" spans="1:3" ht="12" customHeight="1">
      <c r="A109" s="14" t="s">
        <v>445</v>
      </c>
      <c r="B109" s="172" t="s">
        <v>364</v>
      </c>
      <c r="C109" s="346"/>
    </row>
    <row r="110" spans="1:3" ht="12" customHeight="1">
      <c r="A110" s="16" t="s">
        <v>446</v>
      </c>
      <c r="B110" s="172" t="s">
        <v>365</v>
      </c>
      <c r="C110" s="346"/>
    </row>
    <row r="111" spans="1:3" ht="12" customHeight="1">
      <c r="A111" s="14" t="s">
        <v>450</v>
      </c>
      <c r="B111" s="11" t="s">
        <v>51</v>
      </c>
      <c r="C111" s="344"/>
    </row>
    <row r="112" spans="1:3" ht="12" customHeight="1">
      <c r="A112" s="14" t="s">
        <v>451</v>
      </c>
      <c r="B112" s="8" t="s">
        <v>453</v>
      </c>
      <c r="C112" s="344"/>
    </row>
    <row r="113" spans="1:3" ht="12" customHeight="1" thickBot="1">
      <c r="A113" s="18" t="s">
        <v>452</v>
      </c>
      <c r="B113" s="548" t="s">
        <v>454</v>
      </c>
      <c r="C113" s="350"/>
    </row>
    <row r="114" spans="1:3" ht="12" customHeight="1" thickBot="1">
      <c r="A114" s="545" t="s">
        <v>20</v>
      </c>
      <c r="B114" s="546" t="s">
        <v>366</v>
      </c>
      <c r="C114" s="547">
        <f>+C115+C117+C119</f>
        <v>0</v>
      </c>
    </row>
    <row r="115" spans="1:3" ht="12" customHeight="1">
      <c r="A115" s="15" t="s">
        <v>107</v>
      </c>
      <c r="B115" s="8" t="s">
        <v>229</v>
      </c>
      <c r="C115" s="345"/>
    </row>
    <row r="116" spans="1:3" ht="12" customHeight="1">
      <c r="A116" s="15" t="s">
        <v>108</v>
      </c>
      <c r="B116" s="12" t="s">
        <v>370</v>
      </c>
      <c r="C116" s="345"/>
    </row>
    <row r="117" spans="1:3" ht="12" customHeight="1">
      <c r="A117" s="15" t="s">
        <v>109</v>
      </c>
      <c r="B117" s="12" t="s">
        <v>188</v>
      </c>
      <c r="C117" s="344"/>
    </row>
    <row r="118" spans="1:3" ht="12" customHeight="1">
      <c r="A118" s="15" t="s">
        <v>110</v>
      </c>
      <c r="B118" s="12" t="s">
        <v>371</v>
      </c>
      <c r="C118" s="309"/>
    </row>
    <row r="119" spans="1:3" ht="12" customHeight="1">
      <c r="A119" s="15" t="s">
        <v>111</v>
      </c>
      <c r="B119" s="339" t="s">
        <v>232</v>
      </c>
      <c r="C119" s="309"/>
    </row>
    <row r="120" spans="1:3" ht="12" customHeight="1">
      <c r="A120" s="15" t="s">
        <v>120</v>
      </c>
      <c r="B120" s="338" t="s">
        <v>435</v>
      </c>
      <c r="C120" s="309"/>
    </row>
    <row r="121" spans="1:3" ht="12" customHeight="1">
      <c r="A121" s="15" t="s">
        <v>122</v>
      </c>
      <c r="B121" s="467" t="s">
        <v>376</v>
      </c>
      <c r="C121" s="309"/>
    </row>
    <row r="122" spans="1:3" ht="15.75">
      <c r="A122" s="15" t="s">
        <v>189</v>
      </c>
      <c r="B122" s="171" t="s">
        <v>359</v>
      </c>
      <c r="C122" s="309"/>
    </row>
    <row r="123" spans="1:3" ht="12" customHeight="1">
      <c r="A123" s="15" t="s">
        <v>190</v>
      </c>
      <c r="B123" s="171" t="s">
        <v>375</v>
      </c>
      <c r="C123" s="309"/>
    </row>
    <row r="124" spans="1:3" ht="12" customHeight="1">
      <c r="A124" s="15" t="s">
        <v>191</v>
      </c>
      <c r="B124" s="171" t="s">
        <v>374</v>
      </c>
      <c r="C124" s="309"/>
    </row>
    <row r="125" spans="1:3" ht="12" customHeight="1">
      <c r="A125" s="15" t="s">
        <v>367</v>
      </c>
      <c r="B125" s="171" t="s">
        <v>362</v>
      </c>
      <c r="C125" s="309"/>
    </row>
    <row r="126" spans="1:3" ht="12" customHeight="1">
      <c r="A126" s="15" t="s">
        <v>368</v>
      </c>
      <c r="B126" s="171" t="s">
        <v>373</v>
      </c>
      <c r="C126" s="309"/>
    </row>
    <row r="127" spans="1:3" ht="16.5" thickBot="1">
      <c r="A127" s="13" t="s">
        <v>369</v>
      </c>
      <c r="B127" s="171" t="s">
        <v>372</v>
      </c>
      <c r="C127" s="311"/>
    </row>
    <row r="128" spans="1:3" ht="12" customHeight="1" thickBot="1">
      <c r="A128" s="20" t="s">
        <v>21</v>
      </c>
      <c r="B128" s="151" t="s">
        <v>455</v>
      </c>
      <c r="C128" s="342">
        <f>+C93+C114</f>
        <v>18669000</v>
      </c>
    </row>
    <row r="129" spans="1:3" ht="12" customHeight="1" thickBot="1">
      <c r="A129" s="20" t="s">
        <v>22</v>
      </c>
      <c r="B129" s="151" t="s">
        <v>456</v>
      </c>
      <c r="C129" s="342">
        <f>+C130+C131+C132</f>
        <v>0</v>
      </c>
    </row>
    <row r="130" spans="1:3" ht="12" customHeight="1">
      <c r="A130" s="15" t="s">
        <v>271</v>
      </c>
      <c r="B130" s="12" t="s">
        <v>463</v>
      </c>
      <c r="C130" s="309"/>
    </row>
    <row r="131" spans="1:3" ht="12" customHeight="1">
      <c r="A131" s="15" t="s">
        <v>272</v>
      </c>
      <c r="B131" s="12" t="s">
        <v>464</v>
      </c>
      <c r="C131" s="309"/>
    </row>
    <row r="132" spans="1:3" ht="12" customHeight="1" thickBot="1">
      <c r="A132" s="13" t="s">
        <v>273</v>
      </c>
      <c r="B132" s="12" t="s">
        <v>465</v>
      </c>
      <c r="C132" s="309"/>
    </row>
    <row r="133" spans="1:3" ht="12" customHeight="1" thickBot="1">
      <c r="A133" s="20" t="s">
        <v>23</v>
      </c>
      <c r="B133" s="151" t="s">
        <v>457</v>
      </c>
      <c r="C133" s="342">
        <f>SUM(C134:C139)</f>
        <v>0</v>
      </c>
    </row>
    <row r="134" spans="1:3" ht="12" customHeight="1">
      <c r="A134" s="15" t="s">
        <v>94</v>
      </c>
      <c r="B134" s="9" t="s">
        <v>466</v>
      </c>
      <c r="C134" s="309"/>
    </row>
    <row r="135" spans="1:3" ht="12" customHeight="1">
      <c r="A135" s="15" t="s">
        <v>95</v>
      </c>
      <c r="B135" s="9" t="s">
        <v>458</v>
      </c>
      <c r="C135" s="309"/>
    </row>
    <row r="136" spans="1:3" ht="12" customHeight="1">
      <c r="A136" s="15" t="s">
        <v>96</v>
      </c>
      <c r="B136" s="9" t="s">
        <v>459</v>
      </c>
      <c r="C136" s="309"/>
    </row>
    <row r="137" spans="1:3" ht="12" customHeight="1">
      <c r="A137" s="15" t="s">
        <v>176</v>
      </c>
      <c r="B137" s="9" t="s">
        <v>460</v>
      </c>
      <c r="C137" s="309"/>
    </row>
    <row r="138" spans="1:3" ht="12" customHeight="1">
      <c r="A138" s="15" t="s">
        <v>177</v>
      </c>
      <c r="B138" s="9" t="s">
        <v>461</v>
      </c>
      <c r="C138" s="309"/>
    </row>
    <row r="139" spans="1:3" ht="12" customHeight="1" thickBot="1">
      <c r="A139" s="13" t="s">
        <v>178</v>
      </c>
      <c r="B139" s="9" t="s">
        <v>462</v>
      </c>
      <c r="C139" s="309"/>
    </row>
    <row r="140" spans="1:3" ht="12" customHeight="1" thickBot="1">
      <c r="A140" s="20" t="s">
        <v>24</v>
      </c>
      <c r="B140" s="151" t="s">
        <v>470</v>
      </c>
      <c r="C140" s="348">
        <f>+C141+C142+C143+C144</f>
        <v>0</v>
      </c>
    </row>
    <row r="141" spans="1:3" ht="12" customHeight="1">
      <c r="A141" s="15" t="s">
        <v>97</v>
      </c>
      <c r="B141" s="9" t="s">
        <v>377</v>
      </c>
      <c r="C141" s="309"/>
    </row>
    <row r="142" spans="1:3" ht="12" customHeight="1">
      <c r="A142" s="15" t="s">
        <v>98</v>
      </c>
      <c r="B142" s="9" t="s">
        <v>378</v>
      </c>
      <c r="C142" s="309"/>
    </row>
    <row r="143" spans="1:3" ht="12" customHeight="1">
      <c r="A143" s="15" t="s">
        <v>291</v>
      </c>
      <c r="B143" s="9" t="s">
        <v>471</v>
      </c>
      <c r="C143" s="309"/>
    </row>
    <row r="144" spans="1:3" ht="12" customHeight="1" thickBot="1">
      <c r="A144" s="13" t="s">
        <v>292</v>
      </c>
      <c r="B144" s="7" t="s">
        <v>397</v>
      </c>
      <c r="C144" s="309"/>
    </row>
    <row r="145" spans="1:3" ht="12" customHeight="1" thickBot="1">
      <c r="A145" s="20" t="s">
        <v>25</v>
      </c>
      <c r="B145" s="151" t="s">
        <v>472</v>
      </c>
      <c r="C145" s="351">
        <f>SUM(C146:C150)</f>
        <v>0</v>
      </c>
    </row>
    <row r="146" spans="1:3" ht="12" customHeight="1">
      <c r="A146" s="15" t="s">
        <v>99</v>
      </c>
      <c r="B146" s="9" t="s">
        <v>467</v>
      </c>
      <c r="C146" s="309"/>
    </row>
    <row r="147" spans="1:3" ht="12" customHeight="1">
      <c r="A147" s="15" t="s">
        <v>100</v>
      </c>
      <c r="B147" s="9" t="s">
        <v>474</v>
      </c>
      <c r="C147" s="309"/>
    </row>
    <row r="148" spans="1:3" ht="12" customHeight="1">
      <c r="A148" s="15" t="s">
        <v>303</v>
      </c>
      <c r="B148" s="9" t="s">
        <v>469</v>
      </c>
      <c r="C148" s="309"/>
    </row>
    <row r="149" spans="1:3" ht="12" customHeight="1">
      <c r="A149" s="15" t="s">
        <v>304</v>
      </c>
      <c r="B149" s="9" t="s">
        <v>475</v>
      </c>
      <c r="C149" s="309"/>
    </row>
    <row r="150" spans="1:3" ht="12" customHeight="1" thickBot="1">
      <c r="A150" s="15" t="s">
        <v>473</v>
      </c>
      <c r="B150" s="9" t="s">
        <v>476</v>
      </c>
      <c r="C150" s="309"/>
    </row>
    <row r="151" spans="1:3" ht="12" customHeight="1" thickBot="1">
      <c r="A151" s="20" t="s">
        <v>26</v>
      </c>
      <c r="B151" s="151" t="s">
        <v>477</v>
      </c>
      <c r="C151" s="549"/>
    </row>
    <row r="152" spans="1:3" ht="12" customHeight="1" thickBot="1">
      <c r="A152" s="20" t="s">
        <v>27</v>
      </c>
      <c r="B152" s="151" t="s">
        <v>478</v>
      </c>
      <c r="C152" s="549"/>
    </row>
    <row r="153" spans="1:9" ht="15" customHeight="1" thickBot="1">
      <c r="A153" s="20" t="s">
        <v>28</v>
      </c>
      <c r="B153" s="151" t="s">
        <v>480</v>
      </c>
      <c r="C153" s="481">
        <f>+C129+C133+C140+C145+C151+C152</f>
        <v>0</v>
      </c>
      <c r="F153" s="482"/>
      <c r="G153" s="483"/>
      <c r="H153" s="483"/>
      <c r="I153" s="483"/>
    </row>
    <row r="154" spans="1:3" s="470" customFormat="1" ht="12.75" customHeight="1" thickBot="1">
      <c r="A154" s="340" t="s">
        <v>29</v>
      </c>
      <c r="B154" s="433" t="s">
        <v>479</v>
      </c>
      <c r="C154" s="481">
        <f>+C128+C153</f>
        <v>18669000</v>
      </c>
    </row>
    <row r="155" ht="7.5" customHeight="1"/>
    <row r="156" spans="1:3" ht="15.75">
      <c r="A156" s="623" t="s">
        <v>379</v>
      </c>
      <c r="B156" s="623"/>
      <c r="C156" s="623"/>
    </row>
    <row r="157" spans="1:3" ht="15" customHeight="1" thickBot="1">
      <c r="A157" s="621" t="s">
        <v>158</v>
      </c>
      <c r="B157" s="621"/>
      <c r="C157" s="352" t="s">
        <v>230</v>
      </c>
    </row>
    <row r="158" spans="1:4" ht="13.5" customHeight="1" thickBot="1">
      <c r="A158" s="20">
        <v>1</v>
      </c>
      <c r="B158" s="30" t="s">
        <v>481</v>
      </c>
      <c r="C158" s="342">
        <f>+C62-C128</f>
        <v>-18669000</v>
      </c>
      <c r="D158" s="484"/>
    </row>
    <row r="159" spans="1:3" ht="27.75" customHeight="1" thickBot="1">
      <c r="A159" s="20" t="s">
        <v>20</v>
      </c>
      <c r="B159" s="30" t="s">
        <v>580</v>
      </c>
      <c r="C159" s="342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Ibrány Város Önkormányzata
2016. ÉVI KÖLTSÉGVETÉS
ÁLLAMIGAZGATÁSI FELADATAINAK MÉRLEGE
&amp;R&amp;"Times New Roman CE,Félkövér dőlt"&amp;11 1.4. melléklet a ........./2016. (.......) önkormányzati rendelethez</oddHeader>
  </headerFooter>
  <rowBreaks count="1" manualBreakCount="1">
    <brk id="87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BreakPreview" zoomScaleNormal="115" zoomScaleSheetLayoutView="100" workbookViewId="0" topLeftCell="A13">
      <selection activeCell="C26" sqref="C26"/>
    </sheetView>
  </sheetViews>
  <sheetFormatPr defaultColWidth="9.00390625" defaultRowHeight="12.75"/>
  <cols>
    <col min="1" max="1" width="6.875" style="62" customWidth="1"/>
    <col min="2" max="2" width="55.125" style="224" customWidth="1"/>
    <col min="3" max="3" width="16.375" style="62" customWidth="1"/>
    <col min="4" max="4" width="55.125" style="62" customWidth="1"/>
    <col min="5" max="5" width="16.375" style="62" customWidth="1"/>
    <col min="6" max="6" width="4.875" style="62" customWidth="1"/>
    <col min="7" max="7" width="9.375" style="62" customWidth="1"/>
    <col min="8" max="8" width="10.375" style="62" bestFit="1" customWidth="1"/>
    <col min="9" max="16384" width="9.375" style="62" customWidth="1"/>
  </cols>
  <sheetData>
    <row r="1" spans="2:6" ht="39.75" customHeight="1">
      <c r="B1" s="364" t="s">
        <v>162</v>
      </c>
      <c r="C1" s="365"/>
      <c r="D1" s="365"/>
      <c r="E1" s="365"/>
      <c r="F1" s="626" t="str">
        <f>+CONCATENATE("2.1. melléklet a ………../",LEFT(ÖSSZEFÜGGÉSEK!A5,4),". (……….) önkormányzati rendelethez")</f>
        <v>2.1. melléklet a ………../2016. (……….) önkormányzati rendelethez</v>
      </c>
    </row>
    <row r="2" spans="5:6" ht="14.25" thickBot="1">
      <c r="E2" s="366" t="s">
        <v>583</v>
      </c>
      <c r="F2" s="626"/>
    </row>
    <row r="3" spans="1:6" ht="18" customHeight="1" thickBot="1">
      <c r="A3" s="624" t="s">
        <v>72</v>
      </c>
      <c r="B3" s="367" t="s">
        <v>58</v>
      </c>
      <c r="C3" s="368"/>
      <c r="D3" s="367" t="s">
        <v>59</v>
      </c>
      <c r="E3" s="369"/>
      <c r="F3" s="626"/>
    </row>
    <row r="4" spans="1:6" s="370" customFormat="1" ht="35.25" customHeight="1" thickBot="1">
      <c r="A4" s="625"/>
      <c r="B4" s="225" t="s">
        <v>64</v>
      </c>
      <c r="C4" s="226" t="str">
        <f>+'1.1.sz.mell.'!C3</f>
        <v>2016. évi előirányzat</v>
      </c>
      <c r="D4" s="225" t="s">
        <v>64</v>
      </c>
      <c r="E4" s="59" t="str">
        <f>+C4</f>
        <v>2016. évi előirányzat</v>
      </c>
      <c r="F4" s="626"/>
    </row>
    <row r="5" spans="1:6" s="375" customFormat="1" ht="12" customHeight="1" thickBot="1">
      <c r="A5" s="371"/>
      <c r="B5" s="372" t="s">
        <v>499</v>
      </c>
      <c r="C5" s="373" t="s">
        <v>500</v>
      </c>
      <c r="D5" s="372" t="s">
        <v>501</v>
      </c>
      <c r="E5" s="374" t="s">
        <v>503</v>
      </c>
      <c r="F5" s="626"/>
    </row>
    <row r="6" spans="1:6" ht="12.75" customHeight="1">
      <c r="A6" s="376" t="s">
        <v>19</v>
      </c>
      <c r="B6" s="377" t="s">
        <v>380</v>
      </c>
      <c r="C6" s="353">
        <f>'1.1.sz.mell.'!C5</f>
        <v>840689736</v>
      </c>
      <c r="D6" s="377" t="s">
        <v>65</v>
      </c>
      <c r="E6" s="359">
        <f>'1.1.sz.mell.'!C94</f>
        <v>518589000</v>
      </c>
      <c r="F6" s="626"/>
    </row>
    <row r="7" spans="1:6" ht="12.75" customHeight="1">
      <c r="A7" s="378" t="s">
        <v>20</v>
      </c>
      <c r="B7" s="379" t="s">
        <v>381</v>
      </c>
      <c r="C7" s="353">
        <f>'1.1.sz.mell.'!C12</f>
        <v>0</v>
      </c>
      <c r="D7" s="379" t="s">
        <v>184</v>
      </c>
      <c r="E7" s="359">
        <f>'1.1.sz.mell.'!C95</f>
        <v>105750000</v>
      </c>
      <c r="F7" s="626"/>
    </row>
    <row r="8" spans="1:8" ht="12.75" customHeight="1">
      <c r="A8" s="378" t="s">
        <v>21</v>
      </c>
      <c r="B8" s="379" t="s">
        <v>402</v>
      </c>
      <c r="C8" s="354"/>
      <c r="D8" s="379" t="s">
        <v>235</v>
      </c>
      <c r="E8" s="359">
        <f>'1.1.sz.mell.'!C96</f>
        <v>376246836</v>
      </c>
      <c r="F8" s="626"/>
      <c r="H8" s="62">
        <v>67800000</v>
      </c>
    </row>
    <row r="9" spans="1:8" ht="12.75" customHeight="1">
      <c r="A9" s="378" t="s">
        <v>22</v>
      </c>
      <c r="B9" s="379" t="s">
        <v>175</v>
      </c>
      <c r="C9" s="354">
        <f>'1.1.sz.mell.'!C26</f>
        <v>96590000</v>
      </c>
      <c r="D9" s="379" t="s">
        <v>185</v>
      </c>
      <c r="E9" s="359">
        <f>'1.1.sz.mell.'!C97</f>
        <v>35992000</v>
      </c>
      <c r="F9" s="626"/>
      <c r="H9" s="62">
        <v>40000</v>
      </c>
    </row>
    <row r="10" spans="1:8" ht="12.75" customHeight="1">
      <c r="A10" s="378" t="s">
        <v>23</v>
      </c>
      <c r="B10" s="380" t="s">
        <v>428</v>
      </c>
      <c r="C10" s="354">
        <f>'1.1.sz.mell.'!C34</f>
        <v>109368100</v>
      </c>
      <c r="D10" s="379" t="s">
        <v>186</v>
      </c>
      <c r="E10" s="359">
        <f>'1.1.sz.mell.'!C98</f>
        <v>57340000</v>
      </c>
      <c r="F10" s="626"/>
      <c r="H10" s="62">
        <v>13500000</v>
      </c>
    </row>
    <row r="11" spans="1:8" ht="12.75" customHeight="1">
      <c r="A11" s="378" t="s">
        <v>24</v>
      </c>
      <c r="B11" s="379" t="s">
        <v>382</v>
      </c>
      <c r="C11" s="355">
        <f>'1.1.sz.mell.'!C52</f>
        <v>0</v>
      </c>
      <c r="D11" s="379" t="s">
        <v>51</v>
      </c>
      <c r="E11" s="359">
        <f>'1.1.sz.mell.'!C99</f>
        <v>0</v>
      </c>
      <c r="F11" s="626"/>
      <c r="H11" s="62">
        <v>15200000</v>
      </c>
    </row>
    <row r="12" spans="1:8" ht="12.75" customHeight="1">
      <c r="A12" s="378" t="s">
        <v>25</v>
      </c>
      <c r="B12" s="379" t="s">
        <v>487</v>
      </c>
      <c r="C12" s="354"/>
      <c r="D12" s="52"/>
      <c r="E12" s="360"/>
      <c r="F12" s="626"/>
      <c r="H12" s="62">
        <f>SUM(H8:H11)</f>
        <v>96540000</v>
      </c>
    </row>
    <row r="13" spans="1:6" ht="12.75" customHeight="1">
      <c r="A13" s="378" t="s">
        <v>26</v>
      </c>
      <c r="B13" s="52"/>
      <c r="C13" s="354"/>
      <c r="D13" s="52"/>
      <c r="E13" s="360"/>
      <c r="F13" s="626"/>
    </row>
    <row r="14" spans="1:6" ht="12.75" customHeight="1">
      <c r="A14" s="378" t="s">
        <v>27</v>
      </c>
      <c r="B14" s="485"/>
      <c r="C14" s="355"/>
      <c r="D14" s="52"/>
      <c r="E14" s="360"/>
      <c r="F14" s="626"/>
    </row>
    <row r="15" spans="1:6" ht="12.75" customHeight="1">
      <c r="A15" s="378" t="s">
        <v>28</v>
      </c>
      <c r="B15" s="52"/>
      <c r="C15" s="354"/>
      <c r="D15" s="52"/>
      <c r="E15" s="360"/>
      <c r="F15" s="626"/>
    </row>
    <row r="16" spans="1:6" ht="12.75" customHeight="1">
      <c r="A16" s="378" t="s">
        <v>29</v>
      </c>
      <c r="B16" s="52"/>
      <c r="C16" s="354"/>
      <c r="D16" s="52"/>
      <c r="E16" s="360"/>
      <c r="F16" s="626"/>
    </row>
    <row r="17" spans="1:6" ht="12.75" customHeight="1" thickBot="1">
      <c r="A17" s="378" t="s">
        <v>30</v>
      </c>
      <c r="B17" s="64"/>
      <c r="C17" s="356"/>
      <c r="D17" s="52"/>
      <c r="E17" s="361"/>
      <c r="F17" s="626"/>
    </row>
    <row r="18" spans="1:6" ht="15.75" customHeight="1" thickBot="1">
      <c r="A18" s="381" t="s">
        <v>31</v>
      </c>
      <c r="B18" s="153" t="s">
        <v>488</v>
      </c>
      <c r="C18" s="357">
        <f>SUM(C6:C17)</f>
        <v>1046647836</v>
      </c>
      <c r="D18" s="153" t="s">
        <v>388</v>
      </c>
      <c r="E18" s="362">
        <f>SUM(E6:E17)</f>
        <v>1093917836</v>
      </c>
      <c r="F18" s="626"/>
    </row>
    <row r="19" spans="1:6" ht="12.75" customHeight="1">
      <c r="A19" s="382" t="s">
        <v>32</v>
      </c>
      <c r="B19" s="383" t="s">
        <v>385</v>
      </c>
      <c r="C19" s="551">
        <f>+C20+C21+C22+C23</f>
        <v>39947000</v>
      </c>
      <c r="D19" s="384" t="s">
        <v>192</v>
      </c>
      <c r="E19" s="363"/>
      <c r="F19" s="626"/>
    </row>
    <row r="20" spans="1:6" ht="12.75" customHeight="1">
      <c r="A20" s="385" t="s">
        <v>33</v>
      </c>
      <c r="B20" s="384" t="s">
        <v>227</v>
      </c>
      <c r="C20" s="97">
        <f>+'1.1.sz.mell.'!C73-'2.2.sz.mell  '!C19</f>
        <v>39947000</v>
      </c>
      <c r="D20" s="384" t="s">
        <v>387</v>
      </c>
      <c r="E20" s="98"/>
      <c r="F20" s="626"/>
    </row>
    <row r="21" spans="1:6" ht="12.75" customHeight="1">
      <c r="A21" s="385" t="s">
        <v>34</v>
      </c>
      <c r="B21" s="384" t="s">
        <v>228</v>
      </c>
      <c r="C21" s="97">
        <f>+'1.1.sz.mell.'!C74</f>
        <v>0</v>
      </c>
      <c r="D21" s="384" t="s">
        <v>160</v>
      </c>
      <c r="E21" s="98"/>
      <c r="F21" s="626"/>
    </row>
    <row r="22" spans="1:6" ht="12.75" customHeight="1">
      <c r="A22" s="385" t="s">
        <v>35</v>
      </c>
      <c r="B22" s="384" t="s">
        <v>233</v>
      </c>
      <c r="C22" s="97"/>
      <c r="D22" s="384" t="s">
        <v>161</v>
      </c>
      <c r="E22" s="98"/>
      <c r="F22" s="626"/>
    </row>
    <row r="23" spans="1:6" ht="12.75" customHeight="1">
      <c r="A23" s="385" t="s">
        <v>36</v>
      </c>
      <c r="B23" s="384" t="s">
        <v>234</v>
      </c>
      <c r="C23" s="97"/>
      <c r="D23" s="383" t="s">
        <v>236</v>
      </c>
      <c r="E23" s="98"/>
      <c r="F23" s="626"/>
    </row>
    <row r="24" spans="1:6" ht="12.75" customHeight="1">
      <c r="A24" s="385" t="s">
        <v>37</v>
      </c>
      <c r="B24" s="384" t="s">
        <v>386</v>
      </c>
      <c r="C24" s="386">
        <f>+C25+C26</f>
        <v>7323000</v>
      </c>
      <c r="D24" s="384" t="s">
        <v>193</v>
      </c>
      <c r="E24" s="98"/>
      <c r="F24" s="626"/>
    </row>
    <row r="25" spans="1:6" ht="12.75" customHeight="1">
      <c r="A25" s="382" t="s">
        <v>38</v>
      </c>
      <c r="B25" s="383" t="s">
        <v>383</v>
      </c>
      <c r="C25" s="358">
        <f>5000000+2323000</f>
        <v>7323000</v>
      </c>
      <c r="D25" s="377" t="s">
        <v>471</v>
      </c>
      <c r="E25" s="363"/>
      <c r="F25" s="626"/>
    </row>
    <row r="26" spans="1:6" ht="12.75" customHeight="1">
      <c r="A26" s="385" t="s">
        <v>39</v>
      </c>
      <c r="B26" s="384" t="s">
        <v>384</v>
      </c>
      <c r="C26" s="97"/>
      <c r="D26" s="379" t="s">
        <v>477</v>
      </c>
      <c r="E26" s="98"/>
      <c r="F26" s="626"/>
    </row>
    <row r="27" spans="1:6" ht="12.75" customHeight="1">
      <c r="A27" s="378" t="s">
        <v>40</v>
      </c>
      <c r="B27" s="384" t="s">
        <v>482</v>
      </c>
      <c r="C27" s="97"/>
      <c r="D27" s="379" t="s">
        <v>478</v>
      </c>
      <c r="E27" s="98"/>
      <c r="F27" s="626"/>
    </row>
    <row r="28" spans="1:6" ht="12.75" customHeight="1" thickBot="1">
      <c r="A28" s="447" t="s">
        <v>41</v>
      </c>
      <c r="B28" s="383" t="s">
        <v>341</v>
      </c>
      <c r="C28" s="358"/>
      <c r="D28" s="487"/>
      <c r="E28" s="363"/>
      <c r="F28" s="626"/>
    </row>
    <row r="29" spans="1:6" ht="15.75" customHeight="1" thickBot="1">
      <c r="A29" s="381" t="s">
        <v>42</v>
      </c>
      <c r="B29" s="153" t="s">
        <v>489</v>
      </c>
      <c r="C29" s="357">
        <f>+C19+C24+C27+C28</f>
        <v>47270000</v>
      </c>
      <c r="D29" s="153" t="s">
        <v>491</v>
      </c>
      <c r="E29" s="362">
        <f>SUM(E19:E28)</f>
        <v>0</v>
      </c>
      <c r="F29" s="626"/>
    </row>
    <row r="30" spans="1:6" ht="13.5" thickBot="1">
      <c r="A30" s="381" t="s">
        <v>43</v>
      </c>
      <c r="B30" s="387" t="s">
        <v>490</v>
      </c>
      <c r="C30" s="388">
        <f>+C18+C29</f>
        <v>1093917836</v>
      </c>
      <c r="D30" s="387" t="s">
        <v>492</v>
      </c>
      <c r="E30" s="388">
        <f>+E18+E29</f>
        <v>1093917836</v>
      </c>
      <c r="F30" s="626"/>
    </row>
    <row r="31" spans="1:6" ht="13.5" thickBot="1">
      <c r="A31" s="381" t="s">
        <v>44</v>
      </c>
      <c r="B31" s="387" t="s">
        <v>170</v>
      </c>
      <c r="C31" s="388">
        <f>IF(C18-E18&lt;0,E18-C18,"-")</f>
        <v>47270000</v>
      </c>
      <c r="D31" s="387" t="s">
        <v>171</v>
      </c>
      <c r="E31" s="388" t="str">
        <f>IF(C18-E18&gt;0,C18-E18,"-")</f>
        <v>-</v>
      </c>
      <c r="F31" s="626"/>
    </row>
    <row r="32" spans="1:6" ht="13.5" thickBot="1">
      <c r="A32" s="381" t="s">
        <v>45</v>
      </c>
      <c r="B32" s="387" t="s">
        <v>237</v>
      </c>
      <c r="C32" s="388" t="str">
        <f>IF(C18+C29-E30&lt;0,E30-(C18+C29),"-")</f>
        <v>-</v>
      </c>
      <c r="D32" s="387" t="s">
        <v>238</v>
      </c>
      <c r="E32" s="388" t="str">
        <f>IF(C18+C29-E30&gt;0,C18+C29-E30,"-")</f>
        <v>-</v>
      </c>
      <c r="F32" s="626"/>
    </row>
    <row r="33" spans="2:4" ht="18.75">
      <c r="B33" s="627"/>
      <c r="C33" s="627"/>
      <c r="D33" s="627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15" zoomScaleSheetLayoutView="115" workbookViewId="0" topLeftCell="A13">
      <selection activeCell="C26" sqref="C26"/>
    </sheetView>
  </sheetViews>
  <sheetFormatPr defaultColWidth="9.00390625" defaultRowHeight="12.75"/>
  <cols>
    <col min="1" max="1" width="6.875" style="62" customWidth="1"/>
    <col min="2" max="2" width="55.125" style="224" customWidth="1"/>
    <col min="3" max="3" width="16.375" style="62" customWidth="1"/>
    <col min="4" max="4" width="55.125" style="62" customWidth="1"/>
    <col min="5" max="5" width="16.375" style="62" customWidth="1"/>
    <col min="6" max="6" width="4.875" style="62" customWidth="1"/>
    <col min="7" max="16384" width="9.375" style="62" customWidth="1"/>
  </cols>
  <sheetData>
    <row r="1" spans="2:6" ht="31.5">
      <c r="B1" s="364" t="s">
        <v>163</v>
      </c>
      <c r="C1" s="365"/>
      <c r="D1" s="365"/>
      <c r="E1" s="365"/>
      <c r="F1" s="626" t="str">
        <f>+CONCATENATE("2.2. melléklet a ………../",LEFT(ÖSSZEFÜGGÉSEK!A5,4),". (……….) önkormányzati rendelethez")</f>
        <v>2.2. melléklet a ………../2016. (……….) önkormányzati rendelethez</v>
      </c>
    </row>
    <row r="2" spans="5:6" ht="14.25" thickBot="1">
      <c r="E2" s="366" t="s">
        <v>673</v>
      </c>
      <c r="F2" s="626"/>
    </row>
    <row r="3" spans="1:6" ht="13.5" thickBot="1">
      <c r="A3" s="628" t="s">
        <v>72</v>
      </c>
      <c r="B3" s="367" t="s">
        <v>58</v>
      </c>
      <c r="C3" s="368"/>
      <c r="D3" s="367" t="s">
        <v>59</v>
      </c>
      <c r="E3" s="369"/>
      <c r="F3" s="626"/>
    </row>
    <row r="4" spans="1:6" s="370" customFormat="1" ht="24.75" thickBot="1">
      <c r="A4" s="629"/>
      <c r="B4" s="225" t="s">
        <v>64</v>
      </c>
      <c r="C4" s="226" t="str">
        <f>+'2.1.sz.mell  '!C4</f>
        <v>2016. évi előirányzat</v>
      </c>
      <c r="D4" s="225" t="s">
        <v>64</v>
      </c>
      <c r="E4" s="226" t="str">
        <f>+'2.1.sz.mell  '!C4</f>
        <v>2016. évi előirányzat</v>
      </c>
      <c r="F4" s="626"/>
    </row>
    <row r="5" spans="1:6" s="370" customFormat="1" ht="13.5" thickBot="1">
      <c r="A5" s="371"/>
      <c r="B5" s="372" t="s">
        <v>499</v>
      </c>
      <c r="C5" s="373" t="s">
        <v>500</v>
      </c>
      <c r="D5" s="372" t="s">
        <v>501</v>
      </c>
      <c r="E5" s="374" t="s">
        <v>503</v>
      </c>
      <c r="F5" s="626"/>
    </row>
    <row r="6" spans="1:6" ht="12.75" customHeight="1">
      <c r="A6" s="376" t="s">
        <v>19</v>
      </c>
      <c r="B6" s="377" t="s">
        <v>389</v>
      </c>
      <c r="C6" s="353">
        <f>'1.1.sz.mell.'!C19</f>
        <v>0</v>
      </c>
      <c r="D6" s="377" t="s">
        <v>229</v>
      </c>
      <c r="E6" s="359">
        <f>'1.1.sz.mell.'!C115</f>
        <v>61278000</v>
      </c>
      <c r="F6" s="626"/>
    </row>
    <row r="7" spans="1:6" ht="12.75">
      <c r="A7" s="378" t="s">
        <v>20</v>
      </c>
      <c r="B7" s="379" t="s">
        <v>390</v>
      </c>
      <c r="C7" s="354"/>
      <c r="D7" s="379" t="s">
        <v>395</v>
      </c>
      <c r="E7" s="360"/>
      <c r="F7" s="626"/>
    </row>
    <row r="8" spans="1:6" ht="12.75" customHeight="1">
      <c r="A8" s="378" t="s">
        <v>21</v>
      </c>
      <c r="B8" s="379" t="s">
        <v>10</v>
      </c>
      <c r="C8" s="354">
        <f>'1.1.sz.mell.'!C46</f>
        <v>12712000</v>
      </c>
      <c r="D8" s="379" t="s">
        <v>188</v>
      </c>
      <c r="E8" s="360">
        <f>'1.1.sz.mell.'!C117</f>
        <v>4800000</v>
      </c>
      <c r="F8" s="626"/>
    </row>
    <row r="9" spans="1:6" ht="12.75" customHeight="1">
      <c r="A9" s="378" t="s">
        <v>22</v>
      </c>
      <c r="B9" s="379" t="s">
        <v>391</v>
      </c>
      <c r="C9" s="354">
        <f>'1.1.sz.mell.'!C57</f>
        <v>17810000</v>
      </c>
      <c r="D9" s="379" t="s">
        <v>396</v>
      </c>
      <c r="E9" s="360"/>
      <c r="F9" s="626"/>
    </row>
    <row r="10" spans="1:6" ht="12.75" customHeight="1">
      <c r="A10" s="378" t="s">
        <v>23</v>
      </c>
      <c r="B10" s="379" t="s">
        <v>392</v>
      </c>
      <c r="C10" s="354"/>
      <c r="D10" s="379" t="s">
        <v>232</v>
      </c>
      <c r="E10" s="360">
        <f>'1.1.sz.mell.'!C119</f>
        <v>0</v>
      </c>
      <c r="F10" s="626"/>
    </row>
    <row r="11" spans="1:6" ht="12.75" customHeight="1">
      <c r="A11" s="378" t="s">
        <v>24</v>
      </c>
      <c r="B11" s="379" t="s">
        <v>393</v>
      </c>
      <c r="C11" s="355"/>
      <c r="D11" s="488"/>
      <c r="E11" s="360"/>
      <c r="F11" s="626"/>
    </row>
    <row r="12" spans="1:6" ht="12.75" customHeight="1">
      <c r="A12" s="378" t="s">
        <v>25</v>
      </c>
      <c r="B12" s="52"/>
      <c r="C12" s="354"/>
      <c r="D12" s="488"/>
      <c r="E12" s="360"/>
      <c r="F12" s="626"/>
    </row>
    <row r="13" spans="1:6" ht="12.75" customHeight="1">
      <c r="A13" s="378" t="s">
        <v>26</v>
      </c>
      <c r="B13" s="52"/>
      <c r="C13" s="354"/>
      <c r="D13" s="489"/>
      <c r="E13" s="360"/>
      <c r="F13" s="626"/>
    </row>
    <row r="14" spans="1:6" ht="12.75" customHeight="1">
      <c r="A14" s="378" t="s">
        <v>27</v>
      </c>
      <c r="B14" s="486"/>
      <c r="C14" s="355"/>
      <c r="D14" s="488"/>
      <c r="E14" s="360"/>
      <c r="F14" s="626"/>
    </row>
    <row r="15" spans="1:6" ht="12.75">
      <c r="A15" s="378" t="s">
        <v>28</v>
      </c>
      <c r="B15" s="52"/>
      <c r="C15" s="355"/>
      <c r="D15" s="488"/>
      <c r="E15" s="360"/>
      <c r="F15" s="626"/>
    </row>
    <row r="16" spans="1:6" ht="12.75" customHeight="1" thickBot="1">
      <c r="A16" s="447" t="s">
        <v>29</v>
      </c>
      <c r="B16" s="487"/>
      <c r="C16" s="449"/>
      <c r="D16" s="448" t="s">
        <v>51</v>
      </c>
      <c r="E16" s="409"/>
      <c r="F16" s="626"/>
    </row>
    <row r="17" spans="1:6" ht="15.75" customHeight="1" thickBot="1">
      <c r="A17" s="381" t="s">
        <v>30</v>
      </c>
      <c r="B17" s="153" t="s">
        <v>403</v>
      </c>
      <c r="C17" s="357">
        <f>+C6+C8+C9+C11+C12+C13+C14+C15+C16</f>
        <v>30522000</v>
      </c>
      <c r="D17" s="153" t="s">
        <v>404</v>
      </c>
      <c r="E17" s="362">
        <f>+E6+E8+E10+E11+E12+E13+E14+E15+E16</f>
        <v>66078000</v>
      </c>
      <c r="F17" s="626"/>
    </row>
    <row r="18" spans="1:6" ht="12.75" customHeight="1">
      <c r="A18" s="376" t="s">
        <v>31</v>
      </c>
      <c r="B18" s="391" t="s">
        <v>250</v>
      </c>
      <c r="C18" s="398">
        <f>+C19+C20+C21+C22+C23</f>
        <v>53000</v>
      </c>
      <c r="D18" s="384" t="s">
        <v>192</v>
      </c>
      <c r="E18" s="95"/>
      <c r="F18" s="626"/>
    </row>
    <row r="19" spans="1:6" ht="12.75" customHeight="1">
      <c r="A19" s="378" t="s">
        <v>32</v>
      </c>
      <c r="B19" s="392" t="s">
        <v>239</v>
      </c>
      <c r="C19" s="97">
        <v>53000</v>
      </c>
      <c r="D19" s="384" t="s">
        <v>195</v>
      </c>
      <c r="E19" s="98"/>
      <c r="F19" s="626"/>
    </row>
    <row r="20" spans="1:6" ht="12.75" customHeight="1">
      <c r="A20" s="376" t="s">
        <v>33</v>
      </c>
      <c r="B20" s="392" t="s">
        <v>240</v>
      </c>
      <c r="C20" s="97">
        <f>'1.1.sz.mell.'!C74</f>
        <v>0</v>
      </c>
      <c r="D20" s="384" t="s">
        <v>160</v>
      </c>
      <c r="E20" s="98"/>
      <c r="F20" s="626"/>
    </row>
    <row r="21" spans="1:6" ht="12.75" customHeight="1">
      <c r="A21" s="378" t="s">
        <v>34</v>
      </c>
      <c r="B21" s="392" t="s">
        <v>241</v>
      </c>
      <c r="C21" s="97"/>
      <c r="D21" s="384" t="s">
        <v>161</v>
      </c>
      <c r="E21" s="98">
        <f>'1.1.sz.mell.'!C130</f>
        <v>1633000</v>
      </c>
      <c r="F21" s="626"/>
    </row>
    <row r="22" spans="1:6" ht="12.75" customHeight="1">
      <c r="A22" s="376" t="s">
        <v>35</v>
      </c>
      <c r="B22" s="392" t="s">
        <v>242</v>
      </c>
      <c r="C22" s="97"/>
      <c r="D22" s="383" t="s">
        <v>236</v>
      </c>
      <c r="E22" s="98"/>
      <c r="F22" s="626"/>
    </row>
    <row r="23" spans="1:6" ht="12.75" customHeight="1">
      <c r="A23" s="378" t="s">
        <v>36</v>
      </c>
      <c r="B23" s="393" t="s">
        <v>243</v>
      </c>
      <c r="C23" s="97"/>
      <c r="D23" s="384" t="s">
        <v>196</v>
      </c>
      <c r="E23" s="98"/>
      <c r="F23" s="626"/>
    </row>
    <row r="24" spans="1:6" ht="12.75" customHeight="1">
      <c r="A24" s="376" t="s">
        <v>37</v>
      </c>
      <c r="B24" s="394" t="s">
        <v>244</v>
      </c>
      <c r="C24" s="386">
        <f>+C25+C26+C27+C28+C29</f>
        <v>38036000</v>
      </c>
      <c r="D24" s="395" t="s">
        <v>194</v>
      </c>
      <c r="E24" s="98"/>
      <c r="F24" s="626"/>
    </row>
    <row r="25" spans="1:6" ht="12.75" customHeight="1">
      <c r="A25" s="378" t="s">
        <v>38</v>
      </c>
      <c r="B25" s="393" t="s">
        <v>245</v>
      </c>
      <c r="C25" s="97">
        <f>'1.1.sz.mell.'!C64-5000000-2323000</f>
        <v>38036000</v>
      </c>
      <c r="D25" s="395" t="s">
        <v>397</v>
      </c>
      <c r="E25" s="98">
        <f>'1.1.sz.mell.'!C144</f>
        <v>900000</v>
      </c>
      <c r="F25" s="626"/>
    </row>
    <row r="26" spans="1:6" ht="12.75" customHeight="1">
      <c r="A26" s="376" t="s">
        <v>39</v>
      </c>
      <c r="B26" s="393" t="s">
        <v>246</v>
      </c>
      <c r="C26" s="97"/>
      <c r="D26" s="390"/>
      <c r="E26" s="98"/>
      <c r="F26" s="626"/>
    </row>
    <row r="27" spans="1:6" ht="12.75" customHeight="1">
      <c r="A27" s="378" t="s">
        <v>40</v>
      </c>
      <c r="B27" s="392" t="s">
        <v>247</v>
      </c>
      <c r="C27" s="97"/>
      <c r="D27" s="149"/>
      <c r="E27" s="98"/>
      <c r="F27" s="626"/>
    </row>
    <row r="28" spans="1:6" ht="12.75" customHeight="1">
      <c r="A28" s="376" t="s">
        <v>41</v>
      </c>
      <c r="B28" s="396" t="s">
        <v>248</v>
      </c>
      <c r="C28" s="97"/>
      <c r="D28" s="52"/>
      <c r="E28" s="98"/>
      <c r="F28" s="626"/>
    </row>
    <row r="29" spans="1:6" ht="12.75" customHeight="1" thickBot="1">
      <c r="A29" s="378" t="s">
        <v>42</v>
      </c>
      <c r="B29" s="397" t="s">
        <v>249</v>
      </c>
      <c r="C29" s="97"/>
      <c r="D29" s="149"/>
      <c r="E29" s="98"/>
      <c r="F29" s="626"/>
    </row>
    <row r="30" spans="1:6" ht="21.75" customHeight="1" thickBot="1">
      <c r="A30" s="381" t="s">
        <v>43</v>
      </c>
      <c r="B30" s="153" t="s">
        <v>394</v>
      </c>
      <c r="C30" s="357">
        <f>+C18+C24</f>
        <v>38089000</v>
      </c>
      <c r="D30" s="153" t="s">
        <v>398</v>
      </c>
      <c r="E30" s="362">
        <f>SUM(E18:E29)</f>
        <v>2533000</v>
      </c>
      <c r="F30" s="626"/>
    </row>
    <row r="31" spans="1:6" ht="13.5" thickBot="1">
      <c r="A31" s="381" t="s">
        <v>44</v>
      </c>
      <c r="B31" s="387" t="s">
        <v>399</v>
      </c>
      <c r="C31" s="388">
        <f>+C17+C30</f>
        <v>68611000</v>
      </c>
      <c r="D31" s="387" t="s">
        <v>400</v>
      </c>
      <c r="E31" s="388">
        <f>+E17+E30</f>
        <v>68611000</v>
      </c>
      <c r="F31" s="626"/>
    </row>
    <row r="32" spans="1:6" ht="13.5" thickBot="1">
      <c r="A32" s="381" t="s">
        <v>45</v>
      </c>
      <c r="B32" s="387" t="s">
        <v>170</v>
      </c>
      <c r="C32" s="388">
        <f>IF(C17-E17&lt;0,E17-C17,"-")</f>
        <v>35556000</v>
      </c>
      <c r="D32" s="387" t="s">
        <v>171</v>
      </c>
      <c r="E32" s="388" t="str">
        <f>IF(C17-E17&gt;0,C17-E17,"-")</f>
        <v>-</v>
      </c>
      <c r="F32" s="626"/>
    </row>
    <row r="33" spans="1:6" ht="13.5" thickBot="1">
      <c r="A33" s="381" t="s">
        <v>46</v>
      </c>
      <c r="B33" s="387" t="s">
        <v>237</v>
      </c>
      <c r="C33" s="388" t="str">
        <f>IF(C17+C30-E26&lt;0,E26-(C17+C30),"-")</f>
        <v>-</v>
      </c>
      <c r="D33" s="387" t="s">
        <v>238</v>
      </c>
      <c r="E33" s="388">
        <f>IF(C17+C30-E26&gt;0,C17+C30-E26,"-")</f>
        <v>68611000</v>
      </c>
      <c r="F33" s="626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view="pageBreakPreview" zoomScale="60" zoomScalePageLayoutView="0" workbookViewId="0" topLeftCell="A1">
      <selection activeCell="F31" sqref="F31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4" t="s">
        <v>155</v>
      </c>
      <c r="E1" s="157" t="s">
        <v>159</v>
      </c>
    </row>
    <row r="3" spans="1:5" ht="12.75">
      <c r="A3" s="163"/>
      <c r="B3" s="164"/>
      <c r="C3" s="163"/>
      <c r="D3" s="166"/>
      <c r="E3" s="164"/>
    </row>
    <row r="4" spans="1:5" ht="15.75">
      <c r="A4" s="107" t="str">
        <f>+ÖSSZEFÜGGÉSEK!A5</f>
        <v>2016. évi előirányzat BEVÉTELEK</v>
      </c>
      <c r="B4" s="165"/>
      <c r="C4" s="174"/>
      <c r="D4" s="166"/>
      <c r="E4" s="164"/>
    </row>
    <row r="5" spans="1:5" ht="12.75">
      <c r="A5" s="163"/>
      <c r="B5" s="164"/>
      <c r="C5" s="163"/>
      <c r="D5" s="166"/>
      <c r="E5" s="164"/>
    </row>
    <row r="6" spans="1:5" ht="12.75">
      <c r="A6" s="163" t="s">
        <v>552</v>
      </c>
      <c r="B6" s="164">
        <f>+'1.1.sz.mell.'!C62</f>
        <v>1077169836</v>
      </c>
      <c r="C6" s="163" t="s">
        <v>493</v>
      </c>
      <c r="D6" s="166">
        <f>+'2.1.sz.mell  '!C18+'2.2.sz.mell  '!C17</f>
        <v>1077169836</v>
      </c>
      <c r="E6" s="164">
        <f aca="true" t="shared" si="0" ref="E6:E15">+B6-D6</f>
        <v>0</v>
      </c>
    </row>
    <row r="7" spans="1:5" ht="12.75">
      <c r="A7" s="163" t="s">
        <v>553</v>
      </c>
      <c r="B7" s="164">
        <f>+'1.1.sz.mell.'!C86</f>
        <v>85359000</v>
      </c>
      <c r="C7" s="163" t="s">
        <v>494</v>
      </c>
      <c r="D7" s="166">
        <f>+'2.1.sz.mell  '!C29+'2.2.sz.mell  '!C30</f>
        <v>85359000</v>
      </c>
      <c r="E7" s="164">
        <f t="shared" si="0"/>
        <v>0</v>
      </c>
    </row>
    <row r="8" spans="1:5" ht="12.75">
      <c r="A8" s="163" t="s">
        <v>554</v>
      </c>
      <c r="B8" s="164">
        <f>+'1.1.sz.mell.'!C87</f>
        <v>1162528836</v>
      </c>
      <c r="C8" s="163" t="s">
        <v>495</v>
      </c>
      <c r="D8" s="166">
        <f>+'2.1.sz.mell  '!C30+'2.2.sz.mell  '!C31</f>
        <v>1162528836</v>
      </c>
      <c r="E8" s="164">
        <f t="shared" si="0"/>
        <v>0</v>
      </c>
    </row>
    <row r="9" spans="1:5" ht="12.75">
      <c r="A9" s="163"/>
      <c r="B9" s="164"/>
      <c r="C9" s="163"/>
      <c r="D9" s="166"/>
      <c r="E9" s="164"/>
    </row>
    <row r="10" spans="1:5" ht="12.75">
      <c r="A10" s="163"/>
      <c r="B10" s="164"/>
      <c r="C10" s="163"/>
      <c r="D10" s="166"/>
      <c r="E10" s="164"/>
    </row>
    <row r="11" spans="1:5" ht="15.75">
      <c r="A11" s="107" t="str">
        <f>+ÖSSZEFÜGGÉSEK!A12</f>
        <v>2016. évi előirányzat KIADÁSOK</v>
      </c>
      <c r="B11" s="165"/>
      <c r="C11" s="174"/>
      <c r="D11" s="166"/>
      <c r="E11" s="164"/>
    </row>
    <row r="12" spans="1:5" ht="12.75">
      <c r="A12" s="163"/>
      <c r="B12" s="164"/>
      <c r="C12" s="163"/>
      <c r="D12" s="166"/>
      <c r="E12" s="164"/>
    </row>
    <row r="13" spans="1:5" ht="12.75">
      <c r="A13" s="163" t="s">
        <v>555</v>
      </c>
      <c r="B13" s="164">
        <f>+'1.1.sz.mell.'!C128</f>
        <v>1159995836</v>
      </c>
      <c r="C13" s="163" t="s">
        <v>496</v>
      </c>
      <c r="D13" s="166">
        <f>+'2.1.sz.mell  '!E18+'2.2.sz.mell  '!E17</f>
        <v>1159995836</v>
      </c>
      <c r="E13" s="164">
        <f t="shared" si="0"/>
        <v>0</v>
      </c>
    </row>
    <row r="14" spans="1:5" ht="12.75">
      <c r="A14" s="163" t="s">
        <v>556</v>
      </c>
      <c r="B14" s="164">
        <f>+'1.1.sz.mell.'!C153</f>
        <v>2533000</v>
      </c>
      <c r="C14" s="163" t="s">
        <v>497</v>
      </c>
      <c r="D14" s="166">
        <f>+'2.1.sz.mell  '!E29+'2.2.sz.mell  '!E30</f>
        <v>2533000</v>
      </c>
      <c r="E14" s="164">
        <f t="shared" si="0"/>
        <v>0</v>
      </c>
    </row>
    <row r="15" spans="1:5" ht="12.75">
      <c r="A15" s="163" t="s">
        <v>557</v>
      </c>
      <c r="B15" s="164">
        <f>+'1.1.sz.mell.'!C154</f>
        <v>1162528836</v>
      </c>
      <c r="C15" s="163" t="s">
        <v>498</v>
      </c>
      <c r="D15" s="166">
        <f>+'2.1.sz.mell  '!E30+'2.2.sz.mell  '!E31</f>
        <v>1162528836</v>
      </c>
      <c r="E15" s="164">
        <f t="shared" si="0"/>
        <v>0</v>
      </c>
    </row>
    <row r="16" spans="1:5" ht="12.75">
      <c r="A16" s="155"/>
      <c r="B16" s="155"/>
      <c r="C16" s="163"/>
      <c r="D16" s="166"/>
      <c r="E16" s="156"/>
    </row>
    <row r="17" spans="1:5" ht="12.75">
      <c r="A17" s="155"/>
      <c r="B17" s="155"/>
      <c r="C17" s="155"/>
      <c r="D17" s="155"/>
      <c r="E17" s="155"/>
    </row>
    <row r="18" spans="1:5" ht="12.75">
      <c r="A18" s="155"/>
      <c r="B18" s="155"/>
      <c r="C18" s="155"/>
      <c r="D18" s="155"/>
      <c r="E18" s="155"/>
    </row>
    <row r="19" spans="1:5" ht="12.75">
      <c r="A19" s="155"/>
      <c r="B19" s="155"/>
      <c r="C19" s="155"/>
      <c r="D19" s="155"/>
      <c r="E19" s="155"/>
    </row>
  </sheetData>
  <sheetProtection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F7" sqref="F7"/>
    </sheetView>
  </sheetViews>
  <sheetFormatPr defaultColWidth="9.00390625" defaultRowHeight="12.75"/>
  <cols>
    <col min="1" max="1" width="5.625" style="177" customWidth="1"/>
    <col min="2" max="2" width="36.875" style="177" customWidth="1"/>
    <col min="3" max="6" width="14.00390625" style="177" customWidth="1"/>
    <col min="7" max="16384" width="9.375" style="177" customWidth="1"/>
  </cols>
  <sheetData>
    <row r="1" spans="1:6" ht="33" customHeight="1">
      <c r="A1" s="630" t="s">
        <v>573</v>
      </c>
      <c r="B1" s="630"/>
      <c r="C1" s="630"/>
      <c r="D1" s="630"/>
      <c r="E1" s="630"/>
      <c r="F1" s="630"/>
    </row>
    <row r="2" spans="1:7" ht="15.75" customHeight="1" thickBot="1">
      <c r="A2" s="178"/>
      <c r="B2" s="178"/>
      <c r="C2" s="631"/>
      <c r="D2" s="631"/>
      <c r="E2" s="638" t="s">
        <v>56</v>
      </c>
      <c r="F2" s="638"/>
      <c r="G2" s="184"/>
    </row>
    <row r="3" spans="1:6" ht="63" customHeight="1">
      <c r="A3" s="634" t="s">
        <v>17</v>
      </c>
      <c r="B3" s="636" t="s">
        <v>198</v>
      </c>
      <c r="C3" s="636" t="s">
        <v>254</v>
      </c>
      <c r="D3" s="636"/>
      <c r="E3" s="636"/>
      <c r="F3" s="632" t="s">
        <v>508</v>
      </c>
    </row>
    <row r="4" spans="1:6" ht="15.75" thickBot="1">
      <c r="A4" s="635"/>
      <c r="B4" s="637"/>
      <c r="C4" s="543">
        <f>+LEFT(ÖSSZEFÜGGÉSEK!A5,4)+1</f>
        <v>2017</v>
      </c>
      <c r="D4" s="543">
        <f>+C4+1</f>
        <v>2018</v>
      </c>
      <c r="E4" s="543">
        <f>+D4+1</f>
        <v>2019</v>
      </c>
      <c r="F4" s="633"/>
    </row>
    <row r="5" spans="1:6" ht="15.75" thickBot="1">
      <c r="A5" s="181"/>
      <c r="B5" s="182" t="s">
        <v>499</v>
      </c>
      <c r="C5" s="182" t="s">
        <v>500</v>
      </c>
      <c r="D5" s="182" t="s">
        <v>501</v>
      </c>
      <c r="E5" s="182" t="s">
        <v>503</v>
      </c>
      <c r="F5" s="183" t="s">
        <v>502</v>
      </c>
    </row>
    <row r="6" spans="1:6" ht="15">
      <c r="A6" s="180" t="s">
        <v>19</v>
      </c>
      <c r="B6" s="202" t="s">
        <v>632</v>
      </c>
      <c r="C6" s="203">
        <v>3532</v>
      </c>
      <c r="D6" s="203">
        <v>3532</v>
      </c>
      <c r="E6" s="203">
        <v>3532</v>
      </c>
      <c r="F6" s="187">
        <f>SUM(C6:E6)</f>
        <v>10596</v>
      </c>
    </row>
    <row r="7" spans="1:6" ht="15">
      <c r="A7" s="179" t="s">
        <v>20</v>
      </c>
      <c r="B7" s="204" t="s">
        <v>633</v>
      </c>
      <c r="C7" s="205">
        <v>900</v>
      </c>
      <c r="D7" s="205">
        <v>900</v>
      </c>
      <c r="E7" s="205">
        <v>900</v>
      </c>
      <c r="F7" s="188">
        <f>SUM(C7:E7)</f>
        <v>2700</v>
      </c>
    </row>
    <row r="8" spans="1:6" ht="15">
      <c r="A8" s="179" t="s">
        <v>21</v>
      </c>
      <c r="B8" s="204"/>
      <c r="C8" s="205"/>
      <c r="D8" s="205"/>
      <c r="E8" s="205"/>
      <c r="F8" s="188">
        <f>SUM(C8:E8)</f>
        <v>0</v>
      </c>
    </row>
    <row r="9" spans="1:6" ht="15">
      <c r="A9" s="179" t="s">
        <v>22</v>
      </c>
      <c r="B9" s="204"/>
      <c r="C9" s="205"/>
      <c r="D9" s="205"/>
      <c r="E9" s="205"/>
      <c r="F9" s="188">
        <f>SUM(C9:E9)</f>
        <v>0</v>
      </c>
    </row>
    <row r="10" spans="1:6" ht="15.75" thickBot="1">
      <c r="A10" s="185" t="s">
        <v>23</v>
      </c>
      <c r="B10" s="206"/>
      <c r="C10" s="207"/>
      <c r="D10" s="207"/>
      <c r="E10" s="207"/>
      <c r="F10" s="188">
        <f>SUM(C10:E10)</f>
        <v>0</v>
      </c>
    </row>
    <row r="11" spans="1:6" s="526" customFormat="1" ht="15" thickBot="1">
      <c r="A11" s="523" t="s">
        <v>24</v>
      </c>
      <c r="B11" s="186" t="s">
        <v>199</v>
      </c>
      <c r="C11" s="524">
        <f>SUM(C6:C10)</f>
        <v>4432</v>
      </c>
      <c r="D11" s="524">
        <f>SUM(D6:D10)</f>
        <v>4432</v>
      </c>
      <c r="E11" s="524">
        <f>SUM(E6:E10)</f>
        <v>4432</v>
      </c>
      <c r="F11" s="525">
        <f>SUM(F6:F10)</f>
        <v>13296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...../2016.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margo</cp:lastModifiedBy>
  <cp:lastPrinted>2016-03-04T06:50:09Z</cp:lastPrinted>
  <dcterms:created xsi:type="dcterms:W3CDTF">1999-10-30T10:30:45Z</dcterms:created>
  <dcterms:modified xsi:type="dcterms:W3CDTF">2016-03-04T10:16:14Z</dcterms:modified>
  <cp:category/>
  <cp:version/>
  <cp:contentType/>
  <cp:contentStatus/>
</cp:coreProperties>
</file>